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xane/Library/CloudStorage/GoogleDrive-roxane.bonne@zenobia.fr/Drive partagés/1_PROJET/22_07_JANZE/06_DCE/01_RENDU DCE/Z_RENDU_DCE_JANZE_AVRIL 2025/"/>
    </mc:Choice>
  </mc:AlternateContent>
  <xr:revisionPtr revIDLastSave="0" documentId="8_{CE8A28EA-4856-3C4B-9A39-A28435166574}" xr6:coauthVersionLast="47" xr6:coauthVersionMax="47" xr10:uidLastSave="{00000000-0000-0000-0000-000000000000}"/>
  <bookViews>
    <workbookView xWindow="0" yWindow="760" windowWidth="30240" windowHeight="17540" xr2:uid="{00000000-000D-0000-FFFF-FFFF00000000}"/>
  </bookViews>
  <sheets>
    <sheet name="ESTIMATION" sheetId="5" r:id="rId1"/>
  </sheets>
  <definedNames>
    <definedName name="_xlnm.Print_Titles" localSheetId="0">ESTIMATION!$1:$5</definedName>
    <definedName name="_xlnm.Print_Area" localSheetId="0">ESTIMATION!$A$1:$AE$214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3" i="5" l="1"/>
  <c r="G94" i="5"/>
  <c r="G95" i="5"/>
  <c r="G96" i="5"/>
  <c r="G92" i="5"/>
  <c r="G86" i="5"/>
  <c r="G87" i="5"/>
  <c r="G88" i="5"/>
  <c r="G89" i="5"/>
  <c r="G90" i="5"/>
  <c r="G85" i="5"/>
  <c r="F196" i="5"/>
  <c r="F22" i="5"/>
  <c r="G22" i="5" s="1"/>
  <c r="F186" i="5"/>
  <c r="G186" i="5" s="1"/>
  <c r="F185" i="5"/>
  <c r="J121" i="5" l="1"/>
  <c r="J122" i="5"/>
  <c r="J123" i="5"/>
  <c r="J124" i="5"/>
  <c r="J126" i="5"/>
  <c r="F23" i="5"/>
  <c r="G23" i="5" s="1"/>
  <c r="F182" i="5"/>
  <c r="F197" i="5"/>
  <c r="G197" i="5" s="1"/>
  <c r="M197" i="5"/>
  <c r="G19" i="5"/>
  <c r="G18" i="5"/>
  <c r="F198" i="5"/>
  <c r="AD194" i="5"/>
  <c r="AE194" i="5" s="1"/>
  <c r="AA194" i="5"/>
  <c r="AB194" i="5" s="1"/>
  <c r="AA190" i="5"/>
  <c r="U190" i="5"/>
  <c r="V190" i="5" s="1"/>
  <c r="U194" i="5"/>
  <c r="V194" i="5" s="1"/>
  <c r="R194" i="5"/>
  <c r="S194" i="5" s="1"/>
  <c r="O194" i="5"/>
  <c r="P194" i="5" s="1"/>
  <c r="L194" i="5"/>
  <c r="M194" i="5" s="1"/>
  <c r="L190" i="5"/>
  <c r="M190" i="5" s="1"/>
  <c r="I194" i="5"/>
  <c r="J194" i="5" s="1"/>
  <c r="I192" i="5"/>
  <c r="I191" i="5"/>
  <c r="I190" i="5"/>
  <c r="AA28" i="5"/>
  <c r="AB28" i="5" s="1"/>
  <c r="R28" i="5"/>
  <c r="S28" i="5" s="1"/>
  <c r="I38" i="5"/>
  <c r="J38" i="5" s="1"/>
  <c r="AD26" i="5"/>
  <c r="AE26" i="5" s="1"/>
  <c r="AA26" i="5"/>
  <c r="AB26" i="5" s="1"/>
  <c r="X26" i="5"/>
  <c r="Y26" i="5" s="1"/>
  <c r="U26" i="5"/>
  <c r="V26" i="5" s="1"/>
  <c r="R26" i="5"/>
  <c r="S26" i="5" s="1"/>
  <c r="O26" i="5"/>
  <c r="P26" i="5" s="1"/>
  <c r="L26" i="5"/>
  <c r="M26" i="5" s="1"/>
  <c r="I26" i="5"/>
  <c r="J26" i="5" s="1"/>
  <c r="O21" i="5"/>
  <c r="O20" i="5"/>
  <c r="R21" i="5"/>
  <c r="R20" i="5"/>
  <c r="AA21" i="5"/>
  <c r="J175" i="5"/>
  <c r="J178" i="5"/>
  <c r="J179" i="5"/>
  <c r="J174" i="5"/>
  <c r="F177" i="5"/>
  <c r="G177" i="5" s="1"/>
  <c r="AD38" i="5"/>
  <c r="AE38" i="5" s="1"/>
  <c r="AA38" i="5"/>
  <c r="AB38" i="5" s="1"/>
  <c r="AB39" i="5"/>
  <c r="AB180" i="5"/>
  <c r="AB179" i="5"/>
  <c r="AB175" i="5"/>
  <c r="AB173" i="5"/>
  <c r="AE175" i="5"/>
  <c r="AE179" i="5"/>
  <c r="AE180" i="5"/>
  <c r="AE173" i="5"/>
  <c r="V176" i="5"/>
  <c r="V177" i="5"/>
  <c r="F179" i="5"/>
  <c r="G179" i="5" s="1"/>
  <c r="F178" i="5"/>
  <c r="G178" i="5" s="1"/>
  <c r="AD39" i="5"/>
  <c r="AE39" i="5" s="1"/>
  <c r="AA37" i="5"/>
  <c r="X39" i="5"/>
  <c r="Y39" i="5" s="1"/>
  <c r="U39" i="5"/>
  <c r="V39" i="5" s="1"/>
  <c r="U37" i="5"/>
  <c r="V37" i="5" s="1"/>
  <c r="R37" i="5"/>
  <c r="S37" i="5" s="1"/>
  <c r="O37" i="5"/>
  <c r="L37" i="5"/>
  <c r="M37" i="5" s="1"/>
  <c r="L39" i="5"/>
  <c r="M39" i="5" s="1"/>
  <c r="I37" i="5"/>
  <c r="J37" i="5" s="1"/>
  <c r="O39" i="5"/>
  <c r="P39" i="5" s="1"/>
  <c r="I39" i="5"/>
  <c r="J39" i="5" s="1"/>
  <c r="U125" i="5"/>
  <c r="V125" i="5" s="1"/>
  <c r="S39" i="5"/>
  <c r="AB74" i="5"/>
  <c r="AD82" i="5"/>
  <c r="AE82" i="5" s="1"/>
  <c r="S66" i="5"/>
  <c r="M66" i="5"/>
  <c r="F66" i="5"/>
  <c r="G66" i="5" s="1"/>
  <c r="F203" i="5"/>
  <c r="G203" i="5" s="1"/>
  <c r="G184" i="5"/>
  <c r="F73" i="5"/>
  <c r="G73" i="5" s="1"/>
  <c r="AE76" i="5"/>
  <c r="AB73" i="5"/>
  <c r="V82" i="5"/>
  <c r="M82" i="5"/>
  <c r="AB81" i="5"/>
  <c r="F81" i="5"/>
  <c r="G81" i="5" s="1"/>
  <c r="AB80" i="5"/>
  <c r="F80" i="5"/>
  <c r="G80" i="5" s="1"/>
  <c r="AB79" i="5"/>
  <c r="F79" i="5"/>
  <c r="G79" i="5" s="1"/>
  <c r="AB78" i="5"/>
  <c r="F78" i="5"/>
  <c r="G78" i="5" s="1"/>
  <c r="R161" i="5"/>
  <c r="F161" i="5" s="1"/>
  <c r="G161" i="5" s="1"/>
  <c r="S162" i="5"/>
  <c r="R163" i="5"/>
  <c r="F163" i="5" s="1"/>
  <c r="R158" i="5"/>
  <c r="F158" i="5" s="1"/>
  <c r="R160" i="5"/>
  <c r="F160" i="5" s="1"/>
  <c r="R164" i="5"/>
  <c r="F164" i="5" s="1"/>
  <c r="R159" i="5"/>
  <c r="F159" i="5" s="1"/>
  <c r="F162" i="5"/>
  <c r="G162" i="5" s="1"/>
  <c r="O155" i="5"/>
  <c r="F155" i="5" s="1"/>
  <c r="O153" i="5"/>
  <c r="F153" i="5" s="1"/>
  <c r="X118" i="5"/>
  <c r="F118" i="5" s="1"/>
  <c r="X117" i="5"/>
  <c r="F117" i="5" s="1"/>
  <c r="X116" i="5"/>
  <c r="F116" i="5" s="1"/>
  <c r="X115" i="5"/>
  <c r="F115" i="5" s="1"/>
  <c r="G115" i="5" s="1"/>
  <c r="X114" i="5"/>
  <c r="F114" i="5" s="1"/>
  <c r="G114" i="5" s="1"/>
  <c r="X113" i="5"/>
  <c r="Y113" i="5" s="1"/>
  <c r="X112" i="5"/>
  <c r="F112" i="5" s="1"/>
  <c r="X111" i="5"/>
  <c r="F111" i="5" s="1"/>
  <c r="F167" i="5"/>
  <c r="F168" i="5"/>
  <c r="F169" i="5"/>
  <c r="F170" i="5"/>
  <c r="F171" i="5"/>
  <c r="F166" i="5"/>
  <c r="F148" i="5"/>
  <c r="F149" i="5"/>
  <c r="F150" i="5"/>
  <c r="F151" i="5"/>
  <c r="F152" i="5"/>
  <c r="F154" i="5"/>
  <c r="F156" i="5"/>
  <c r="F147" i="5"/>
  <c r="F139" i="5"/>
  <c r="F140" i="5"/>
  <c r="F141" i="5"/>
  <c r="F142" i="5"/>
  <c r="F143" i="5"/>
  <c r="F144" i="5"/>
  <c r="F145" i="5"/>
  <c r="F138" i="5"/>
  <c r="F129" i="5"/>
  <c r="F130" i="5"/>
  <c r="F131" i="5"/>
  <c r="F132" i="5"/>
  <c r="F133" i="5"/>
  <c r="F134" i="5"/>
  <c r="F135" i="5"/>
  <c r="F136" i="5"/>
  <c r="F128" i="5"/>
  <c r="F121" i="5"/>
  <c r="F122" i="5"/>
  <c r="F123" i="5"/>
  <c r="F124" i="5"/>
  <c r="F126" i="5"/>
  <c r="F120" i="5"/>
  <c r="F99" i="5"/>
  <c r="F100" i="5"/>
  <c r="F101" i="5"/>
  <c r="F102" i="5"/>
  <c r="F103" i="5"/>
  <c r="F104" i="5"/>
  <c r="F105" i="5"/>
  <c r="F106" i="5"/>
  <c r="F107" i="5"/>
  <c r="F108" i="5"/>
  <c r="F109" i="5"/>
  <c r="F98" i="5"/>
  <c r="F86" i="5"/>
  <c r="F87" i="5"/>
  <c r="F88" i="5"/>
  <c r="F89" i="5"/>
  <c r="F90" i="5"/>
  <c r="F85" i="5"/>
  <c r="F70" i="5"/>
  <c r="F71" i="5"/>
  <c r="F72" i="5"/>
  <c r="F76" i="5"/>
  <c r="F69" i="5"/>
  <c r="F56" i="5"/>
  <c r="F57" i="5"/>
  <c r="F58" i="5"/>
  <c r="F59" i="5"/>
  <c r="F60" i="5"/>
  <c r="F61" i="5"/>
  <c r="F62" i="5"/>
  <c r="F63" i="5"/>
  <c r="F64" i="5"/>
  <c r="F65" i="5"/>
  <c r="F67" i="5"/>
  <c r="F55" i="5"/>
  <c r="F53" i="5"/>
  <c r="F47" i="5"/>
  <c r="F48" i="5"/>
  <c r="F49" i="5"/>
  <c r="F50" i="5"/>
  <c r="F51" i="5"/>
  <c r="F52" i="5"/>
  <c r="F46" i="5"/>
  <c r="F44" i="5"/>
  <c r="F34" i="5"/>
  <c r="F202" i="5" l="1"/>
  <c r="F40" i="5"/>
  <c r="L31" i="5"/>
  <c r="M31" i="5" s="1"/>
  <c r="O31" i="5"/>
  <c r="P31" i="5" s="1"/>
  <c r="R31" i="5"/>
  <c r="S31" i="5" s="1"/>
  <c r="U31" i="5"/>
  <c r="V31" i="5" s="1"/>
  <c r="AA31" i="5"/>
  <c r="AB31" i="5" s="1"/>
  <c r="AD199" i="5"/>
  <c r="I199" i="5"/>
  <c r="F194" i="5"/>
  <c r="G194" i="5" s="1"/>
  <c r="AD190" i="5"/>
  <c r="X20" i="5"/>
  <c r="U28" i="5"/>
  <c r="V28" i="5" s="1"/>
  <c r="X28" i="5"/>
  <c r="Y28" i="5" s="1"/>
  <c r="R27" i="5"/>
  <c r="S27" i="5" s="1"/>
  <c r="U27" i="5"/>
  <c r="V27" i="5" s="1"/>
  <c r="AA27" i="5"/>
  <c r="AB27" i="5" s="1"/>
  <c r="O27" i="5"/>
  <c r="P27" i="5" s="1"/>
  <c r="O28" i="5"/>
  <c r="P28" i="5" s="1"/>
  <c r="AD28" i="5"/>
  <c r="AE28" i="5" s="1"/>
  <c r="L28" i="5"/>
  <c r="M28" i="5" s="1"/>
  <c r="I28" i="5"/>
  <c r="J28" i="5" s="1"/>
  <c r="I27" i="5"/>
  <c r="F29" i="5"/>
  <c r="L27" i="5"/>
  <c r="M27" i="5" s="1"/>
  <c r="F26" i="5"/>
  <c r="AD21" i="5"/>
  <c r="U20" i="5"/>
  <c r="L21" i="5"/>
  <c r="I21" i="5"/>
  <c r="F39" i="5"/>
  <c r="AD37" i="5"/>
  <c r="AD27" i="5" s="1"/>
  <c r="AE27" i="5" s="1"/>
  <c r="F125" i="5"/>
  <c r="G125" i="5" s="1"/>
  <c r="G202" i="5"/>
  <c r="F38" i="5"/>
  <c r="G38" i="5" s="1"/>
  <c r="F82" i="5"/>
  <c r="Y116" i="5"/>
  <c r="S161" i="5"/>
  <c r="Y117" i="5"/>
  <c r="Y118" i="5"/>
  <c r="F113" i="5"/>
  <c r="Y115" i="5"/>
  <c r="Y114" i="5"/>
  <c r="Y112" i="5"/>
  <c r="F199" i="5" l="1"/>
  <c r="I31" i="5"/>
  <c r="AE199" i="5"/>
  <c r="AD31" i="5"/>
  <c r="AE31" i="5" s="1"/>
  <c r="F206" i="5"/>
  <c r="G206" i="5" s="1"/>
  <c r="F20" i="5"/>
  <c r="F28" i="5"/>
  <c r="G82" i="5"/>
  <c r="J82" i="5" s="1"/>
  <c r="F207" i="5"/>
  <c r="G207" i="5" s="1"/>
  <c r="G77" i="5"/>
  <c r="J93" i="5"/>
  <c r="J94" i="5"/>
  <c r="J95" i="5"/>
  <c r="J96" i="5"/>
  <c r="J92" i="5"/>
  <c r="F93" i="5"/>
  <c r="F94" i="5"/>
  <c r="F95" i="5"/>
  <c r="F96" i="5"/>
  <c r="F92" i="5"/>
  <c r="G47" i="5"/>
  <c r="J47" i="5"/>
  <c r="G62" i="5"/>
  <c r="J62" i="5"/>
  <c r="J52" i="5"/>
  <c r="G52" i="5"/>
  <c r="AE21" i="5"/>
  <c r="J31" i="5" l="1"/>
  <c r="F31" i="5"/>
  <c r="F32" i="5" s="1"/>
  <c r="F209" i="5" s="1"/>
  <c r="G209" i="5" s="1"/>
  <c r="AB190" i="5"/>
  <c r="AA192" i="5"/>
  <c r="AA191" i="5" s="1"/>
  <c r="AE192" i="5"/>
  <c r="F174" i="5"/>
  <c r="G174" i="5" s="1"/>
  <c r="F175" i="5"/>
  <c r="G175" i="5" s="1"/>
  <c r="F176" i="5"/>
  <c r="G176" i="5" s="1"/>
  <c r="F180" i="5"/>
  <c r="G180" i="5" s="1"/>
  <c r="F173" i="5"/>
  <c r="G173" i="5" s="1"/>
  <c r="AB167" i="5"/>
  <c r="AB168" i="5"/>
  <c r="AB169" i="5"/>
  <c r="AB170" i="5"/>
  <c r="AB171" i="5"/>
  <c r="AB166" i="5"/>
  <c r="S159" i="5"/>
  <c r="S160" i="5"/>
  <c r="S163" i="5"/>
  <c r="S164" i="5"/>
  <c r="S158" i="5"/>
  <c r="M139" i="5"/>
  <c r="M140" i="5"/>
  <c r="M141" i="5"/>
  <c r="M142" i="5"/>
  <c r="M143" i="5"/>
  <c r="M144" i="5"/>
  <c r="M145" i="5"/>
  <c r="M138" i="5"/>
  <c r="P148" i="5"/>
  <c r="P149" i="5"/>
  <c r="P150" i="5"/>
  <c r="P151" i="5"/>
  <c r="P152" i="5"/>
  <c r="P153" i="5"/>
  <c r="P154" i="5"/>
  <c r="P155" i="5"/>
  <c r="P156" i="5"/>
  <c r="P147" i="5"/>
  <c r="M129" i="5"/>
  <c r="M130" i="5"/>
  <c r="M131" i="5"/>
  <c r="M132" i="5"/>
  <c r="M133" i="5"/>
  <c r="M134" i="5"/>
  <c r="M135" i="5"/>
  <c r="M136" i="5"/>
  <c r="M128" i="5"/>
  <c r="J120" i="5"/>
  <c r="V121" i="5"/>
  <c r="V122" i="5"/>
  <c r="V123" i="5"/>
  <c r="V124" i="5"/>
  <c r="V126" i="5"/>
  <c r="V120" i="5"/>
  <c r="Y111" i="5"/>
  <c r="AE99" i="5"/>
  <c r="AE100" i="5"/>
  <c r="AE101" i="5"/>
  <c r="AE102" i="5"/>
  <c r="AE103" i="5"/>
  <c r="AE104" i="5"/>
  <c r="AE105" i="5"/>
  <c r="AE106" i="5"/>
  <c r="AE107" i="5"/>
  <c r="AE108" i="5"/>
  <c r="AE109" i="5"/>
  <c r="AE98" i="5"/>
  <c r="J86" i="5"/>
  <c r="J87" i="5"/>
  <c r="J88" i="5"/>
  <c r="J89" i="5"/>
  <c r="J90" i="5"/>
  <c r="J85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1" i="5"/>
  <c r="G112" i="5"/>
  <c r="G113" i="5"/>
  <c r="G116" i="5"/>
  <c r="G117" i="5"/>
  <c r="G118" i="5"/>
  <c r="G120" i="5"/>
  <c r="G121" i="5"/>
  <c r="G122" i="5"/>
  <c r="G123" i="5"/>
  <c r="G124" i="5"/>
  <c r="G126" i="5"/>
  <c r="G128" i="5"/>
  <c r="G129" i="5"/>
  <c r="G130" i="5"/>
  <c r="G131" i="5"/>
  <c r="G132" i="5"/>
  <c r="G133" i="5"/>
  <c r="G134" i="5"/>
  <c r="G135" i="5"/>
  <c r="G136" i="5"/>
  <c r="G138" i="5"/>
  <c r="G139" i="5"/>
  <c r="G140" i="5"/>
  <c r="G141" i="5"/>
  <c r="G142" i="5"/>
  <c r="G143" i="5"/>
  <c r="G144" i="5"/>
  <c r="G145" i="5"/>
  <c r="G147" i="5"/>
  <c r="G148" i="5"/>
  <c r="G149" i="5"/>
  <c r="G150" i="5"/>
  <c r="G151" i="5"/>
  <c r="G152" i="5"/>
  <c r="G153" i="5"/>
  <c r="G154" i="5"/>
  <c r="G155" i="5"/>
  <c r="G156" i="5"/>
  <c r="G158" i="5"/>
  <c r="G159" i="5"/>
  <c r="G160" i="5"/>
  <c r="G163" i="5"/>
  <c r="G164" i="5"/>
  <c r="G166" i="5"/>
  <c r="G167" i="5"/>
  <c r="G168" i="5"/>
  <c r="G169" i="5"/>
  <c r="G170" i="5"/>
  <c r="G171" i="5"/>
  <c r="AD35" i="5"/>
  <c r="J192" i="5"/>
  <c r="G185" i="5"/>
  <c r="X193" i="5"/>
  <c r="Y193" i="5" s="1"/>
  <c r="O193" i="5"/>
  <c r="P193" i="5" s="1"/>
  <c r="P188" i="5" s="1"/>
  <c r="G30" i="5"/>
  <c r="Y30" i="5"/>
  <c r="M21" i="5"/>
  <c r="S21" i="5"/>
  <c r="S20" i="5"/>
  <c r="AB21" i="5"/>
  <c r="P21" i="5"/>
  <c r="V20" i="5"/>
  <c r="Y20" i="5"/>
  <c r="Y198" i="5"/>
  <c r="G198" i="5"/>
  <c r="I35" i="5"/>
  <c r="L36" i="5"/>
  <c r="M36" i="5" s="1"/>
  <c r="I36" i="5"/>
  <c r="J60" i="5"/>
  <c r="G60" i="5"/>
  <c r="M53" i="5"/>
  <c r="G53" i="5"/>
  <c r="G199" i="5"/>
  <c r="G10" i="5"/>
  <c r="G11" i="5"/>
  <c r="G12" i="5"/>
  <c r="G13" i="5"/>
  <c r="G14" i="5"/>
  <c r="G9" i="5"/>
  <c r="G196" i="5"/>
  <c r="G76" i="5"/>
  <c r="G75" i="5" s="1"/>
  <c r="G70" i="5"/>
  <c r="G71" i="5"/>
  <c r="G72" i="5"/>
  <c r="G69" i="5"/>
  <c r="G57" i="5"/>
  <c r="G64" i="5"/>
  <c r="G61" i="5"/>
  <c r="G65" i="5"/>
  <c r="G67" i="5"/>
  <c r="G55" i="5"/>
  <c r="G56" i="5"/>
  <c r="G59" i="5"/>
  <c r="G58" i="5"/>
  <c r="G63" i="5"/>
  <c r="G48" i="5"/>
  <c r="G49" i="5"/>
  <c r="G46" i="5"/>
  <c r="G50" i="5"/>
  <c r="G51" i="5"/>
  <c r="G44" i="5"/>
  <c r="G43" i="5" s="1"/>
  <c r="G183" i="5"/>
  <c r="AE48" i="5"/>
  <c r="AE46" i="5"/>
  <c r="AE50" i="5"/>
  <c r="AE51" i="5"/>
  <c r="AA35" i="5"/>
  <c r="AB72" i="5"/>
  <c r="AB70" i="5"/>
  <c r="AB71" i="5"/>
  <c r="AB69" i="5"/>
  <c r="AB49" i="5"/>
  <c r="AB46" i="5"/>
  <c r="AB50" i="5"/>
  <c r="U36" i="5"/>
  <c r="V76" i="5"/>
  <c r="V64" i="5"/>
  <c r="R36" i="5"/>
  <c r="S76" i="5"/>
  <c r="S57" i="5"/>
  <c r="S61" i="5"/>
  <c r="P61" i="5"/>
  <c r="P76" i="5"/>
  <c r="M61" i="5"/>
  <c r="M76" i="5"/>
  <c r="J34" i="5"/>
  <c r="L35" i="5"/>
  <c r="L191" i="5" s="1"/>
  <c r="J44" i="5"/>
  <c r="P36" i="5"/>
  <c r="Y63" i="5"/>
  <c r="Y36" i="5"/>
  <c r="Y33" i="5" s="1"/>
  <c r="V30" i="5"/>
  <c r="V199" i="5"/>
  <c r="S30" i="5"/>
  <c r="P30" i="5"/>
  <c r="J76" i="5"/>
  <c r="J30" i="5"/>
  <c r="J199" i="5"/>
  <c r="J46" i="5"/>
  <c r="AE8" i="5"/>
  <c r="AB8" i="5"/>
  <c r="Y8" i="5"/>
  <c r="V58" i="5"/>
  <c r="S59" i="5"/>
  <c r="P56" i="5"/>
  <c r="P55" i="5"/>
  <c r="M65" i="5"/>
  <c r="M67" i="5"/>
  <c r="M55" i="5"/>
  <c r="M8" i="5"/>
  <c r="J8" i="5"/>
  <c r="AB201" i="5"/>
  <c r="V201" i="5"/>
  <c r="P201" i="5"/>
  <c r="M201" i="5"/>
  <c r="V8" i="5"/>
  <c r="P8" i="5"/>
  <c r="S8" i="5"/>
  <c r="J201" i="5"/>
  <c r="G195" i="5" l="1"/>
  <c r="F27" i="5"/>
  <c r="J27" i="5"/>
  <c r="S36" i="5"/>
  <c r="S17" i="5"/>
  <c r="V36" i="5"/>
  <c r="V33" i="5" s="1"/>
  <c r="AE35" i="5"/>
  <c r="F36" i="5"/>
  <c r="P33" i="5"/>
  <c r="G172" i="5"/>
  <c r="G83" i="5"/>
  <c r="G54" i="5"/>
  <c r="G45" i="5"/>
  <c r="Y188" i="5"/>
  <c r="Y17" i="5"/>
  <c r="Y16" i="5" s="1"/>
  <c r="I193" i="5"/>
  <c r="J193" i="5" s="1"/>
  <c r="AB37" i="5"/>
  <c r="F74" i="5"/>
  <c r="G74" i="5" s="1"/>
  <c r="G68" i="5" s="1"/>
  <c r="J35" i="5"/>
  <c r="F35" i="5"/>
  <c r="AB191" i="5"/>
  <c r="F192" i="5"/>
  <c r="G192" i="5" s="1"/>
  <c r="P20" i="5"/>
  <c r="G34" i="5"/>
  <c r="S42" i="5"/>
  <c r="P42" i="5"/>
  <c r="M42" i="5"/>
  <c r="J42" i="5"/>
  <c r="V42" i="5"/>
  <c r="AB42" i="5"/>
  <c r="Y42" i="5"/>
  <c r="AB192" i="5"/>
  <c r="AD191" i="5"/>
  <c r="AE191" i="5" s="1"/>
  <c r="G8" i="5"/>
  <c r="M191" i="5"/>
  <c r="L193" i="5"/>
  <c r="M193" i="5" s="1"/>
  <c r="R193" i="5"/>
  <c r="S193" i="5" s="1"/>
  <c r="S188" i="5" s="1"/>
  <c r="U193" i="5"/>
  <c r="V193" i="5" s="1"/>
  <c r="V188" i="5" s="1"/>
  <c r="AB17" i="5"/>
  <c r="J36" i="5"/>
  <c r="S201" i="5"/>
  <c r="M35" i="5"/>
  <c r="M33" i="5" s="1"/>
  <c r="AE201" i="5"/>
  <c r="J190" i="5"/>
  <c r="Y201" i="5"/>
  <c r="AB35" i="5"/>
  <c r="G36" i="5" l="1"/>
  <c r="F205" i="5"/>
  <c r="G205" i="5" s="1"/>
  <c r="G35" i="5"/>
  <c r="F204" i="5"/>
  <c r="AB188" i="5"/>
  <c r="Y212" i="5"/>
  <c r="M188" i="5"/>
  <c r="J188" i="5"/>
  <c r="J33" i="5"/>
  <c r="M17" i="5"/>
  <c r="M16" i="5" s="1"/>
  <c r="AB33" i="5"/>
  <c r="AB16" i="5" s="1"/>
  <c r="G20" i="5"/>
  <c r="P17" i="5"/>
  <c r="P16" i="5" s="1"/>
  <c r="P212" i="5" s="1"/>
  <c r="V17" i="5"/>
  <c r="V16" i="5" s="1"/>
  <c r="V212" i="5" s="1"/>
  <c r="S33" i="5"/>
  <c r="S16" i="5" s="1"/>
  <c r="S212" i="5" s="1"/>
  <c r="AE42" i="5"/>
  <c r="AE190" i="5"/>
  <c r="AE188" i="5" s="1"/>
  <c r="F190" i="5"/>
  <c r="G190" i="5" s="1"/>
  <c r="J191" i="5"/>
  <c r="F191" i="5"/>
  <c r="G191" i="5" s="1"/>
  <c r="AE37" i="5"/>
  <c r="AE33" i="5" s="1"/>
  <c r="F193" i="5"/>
  <c r="G193" i="5" s="1"/>
  <c r="F37" i="5"/>
  <c r="G37" i="5" s="1"/>
  <c r="J21" i="5"/>
  <c r="F21" i="5"/>
  <c r="G27" i="5"/>
  <c r="G26" i="5"/>
  <c r="G40" i="5"/>
  <c r="G28" i="5"/>
  <c r="G182" i="5"/>
  <c r="G181" i="5" s="1"/>
  <c r="G42" i="5" s="1"/>
  <c r="G29" i="5"/>
  <c r="G32" i="5"/>
  <c r="G39" i="5"/>
  <c r="G25" i="5"/>
  <c r="G189" i="5" l="1"/>
  <c r="G188" i="5" s="1"/>
  <c r="AB212" i="5"/>
  <c r="G204" i="5"/>
  <c r="F208" i="5"/>
  <c r="G208" i="5" s="1"/>
  <c r="M212" i="5"/>
  <c r="AE17" i="5"/>
  <c r="AE16" i="5" s="1"/>
  <c r="AE212" i="5" s="1"/>
  <c r="G33" i="5"/>
  <c r="G21" i="5"/>
  <c r="J17" i="5"/>
  <c r="J16" i="5" s="1"/>
  <c r="J212" i="5" s="1"/>
  <c r="G24" i="5"/>
  <c r="G31" i="5"/>
  <c r="G201" i="5" l="1"/>
  <c r="G17" i="5"/>
  <c r="G16" i="5" s="1"/>
  <c r="J213" i="5"/>
  <c r="J214" i="5" s="1"/>
  <c r="G212" i="5" l="1"/>
  <c r="G213" i="5" s="1"/>
  <c r="G214" i="5" s="1"/>
  <c r="V213" i="5"/>
  <c r="M213" i="5"/>
  <c r="Y213" i="5"/>
  <c r="AE213" i="5"/>
  <c r="AE214" i="5" s="1"/>
  <c r="S213" i="5"/>
  <c r="P213" i="5" l="1"/>
  <c r="P214" i="5" s="1"/>
  <c r="Y214" i="5"/>
  <c r="M214" i="5"/>
  <c r="S214" i="5"/>
  <c r="AB213" i="5"/>
  <c r="AB214" i="5" s="1"/>
  <c r="V214" i="5"/>
</calcChain>
</file>

<file path=xl/sharedStrings.xml><?xml version="1.0" encoding="utf-8"?>
<sst xmlns="http://schemas.openxmlformats.org/spreadsheetml/2006/main" count="649" uniqueCount="391">
  <si>
    <t>N°</t>
  </si>
  <si>
    <t>DESIGNATION DES OUVRAGES</t>
  </si>
  <si>
    <t>U</t>
  </si>
  <si>
    <t>P.U. en €</t>
  </si>
  <si>
    <t>Total H.T. en €</t>
  </si>
  <si>
    <t>M²</t>
  </si>
  <si>
    <t>ML</t>
  </si>
  <si>
    <t>T.V.A. 20%</t>
  </si>
  <si>
    <t>sous total</t>
  </si>
  <si>
    <t xml:space="preserve">SYNTHÈSE </t>
  </si>
  <si>
    <t>1. INSTALLATION DE CHANTIER - SIGNALISATION</t>
  </si>
  <si>
    <t>Etablissement des DICT, PPSPS, documents administratifs, amenée et repliement du matériel, balisage et toutes autres sujétions d'installation et de signalisation</t>
  </si>
  <si>
    <t>F</t>
  </si>
  <si>
    <t>Etude, signalisation, aménagements provisoires liés aux travaux</t>
  </si>
  <si>
    <t>Tracé, piquetage, implantation</t>
  </si>
  <si>
    <t>Etablissement des plans d'installation, plan EXE et note de calcul pour visa</t>
  </si>
  <si>
    <t>Prestation ponctuelle - Déplaçement en pépinière (MOA+MOE+Entreprise)</t>
  </si>
  <si>
    <t>PARVIS</t>
  </si>
  <si>
    <t>TOTAL</t>
  </si>
  <si>
    <t>TOTAL 1</t>
  </si>
  <si>
    <t>TOTAL 2</t>
  </si>
  <si>
    <t>TOTAL 3</t>
  </si>
  <si>
    <t>TOTAL 8</t>
  </si>
  <si>
    <t>ARBRES TIGES</t>
  </si>
  <si>
    <t>CÉPÉES</t>
  </si>
  <si>
    <t>PLANTATION DES VÉGÉTAUX</t>
  </si>
  <si>
    <t>Membrane anti-racine</t>
  </si>
  <si>
    <t>Paillage copeaux de peuplier</t>
  </si>
  <si>
    <t>M³</t>
  </si>
  <si>
    <t>GRIMPANTES</t>
  </si>
  <si>
    <t xml:space="preserve">Plantation Grimpantes </t>
  </si>
  <si>
    <t>Plantation Arbuste (dont arbustes de haies hors haie préformée)</t>
  </si>
  <si>
    <t xml:space="preserve">Plantation Cépée </t>
  </si>
  <si>
    <t>Plantation Arbre tige</t>
  </si>
  <si>
    <t>Fauche, abattage, dessouchage et nettoyage terrain</t>
  </si>
  <si>
    <t>Plan de récolement et DOE (informatique en dwg et pdf)</t>
  </si>
  <si>
    <t>JARDIN ET PATIO ALZHEIMER</t>
  </si>
  <si>
    <t>JARDIN COMMUN // EHPAD / PASS</t>
  </si>
  <si>
    <t>PARC CENTRE HOSPITALIER</t>
  </si>
  <si>
    <t>Analyse TV</t>
  </si>
  <si>
    <t>ARBRE REMARQUABLE</t>
  </si>
  <si>
    <t>Surface</t>
  </si>
  <si>
    <t>Amelanchier canadensis - 300/350 - MG - 3/5tr - 4trp</t>
  </si>
  <si>
    <t>Plantation arbre remarquable</t>
  </si>
  <si>
    <t>Piquets chataigner délimitation massifs</t>
  </si>
  <si>
    <t>Fraxinus mariesi - 300/350 - MG - 3/5tr - 3trp</t>
  </si>
  <si>
    <t>Acer davidii - 300-350 - MG - 3/5 tr - 3trp</t>
  </si>
  <si>
    <t>Exochorda racemosa - 150/200 - MG - 3/5br - 2trp</t>
  </si>
  <si>
    <t>Cercis siliquastrum - 300/350 - MG - 3/5tr - 3trp</t>
  </si>
  <si>
    <t>Camelia japinica 'Volunteer' - 200/250 - MG - 3/5br - 3trp</t>
  </si>
  <si>
    <t>Ligustrum ibota - 300/350 - MG - 3/5tr - 3trp</t>
  </si>
  <si>
    <t>PATIO SSOL &amp; JARDIN PERSONNEL</t>
  </si>
  <si>
    <t>PARKING</t>
  </si>
  <si>
    <t>Fraxinus angustifolia 'Raywood' - 20-25 - MG - 3trp</t>
  </si>
  <si>
    <t>Acer buergerianum - 20-25 - MG - 3trp</t>
  </si>
  <si>
    <t>Acer campestre - 175/200 - M - 3/5br - 2trp</t>
  </si>
  <si>
    <t>Alnus glutinosa - 250/300 - M - 2trp</t>
  </si>
  <si>
    <t>Corylus avellana - 150/200 - M - 5/7br - 2Trp</t>
  </si>
  <si>
    <t>Crataegus monogyna - 150/200 - M - 5/7br - 2trp</t>
  </si>
  <si>
    <t>JARDIN PASA &amp; PATIO ADMIN</t>
  </si>
  <si>
    <t>Cornus kousa 'Chinensis' - 200/250 - MG - 3/5tr - 3trp</t>
  </si>
  <si>
    <t>TOTAL GENERAL T.T.C.</t>
  </si>
  <si>
    <t>Pergola autoportée, Vivre en bois, modèle Samana avec brise soleil, douglas, L4x4x2,48m</t>
  </si>
  <si>
    <t>TOTAL GENERAL H.T.</t>
  </si>
  <si>
    <t xml:space="preserve">Jardinière finition acier thermolaqué, RAL 7039 Gris Quartz, avec subtrats compris 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</si>
  <si>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</si>
  <si>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</si>
  <si>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</si>
  <si>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</si>
  <si>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</si>
  <si>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</si>
  <si>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</si>
  <si>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</si>
  <si>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</si>
  <si>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</si>
  <si>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</si>
  <si>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</si>
  <si>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</si>
  <si>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</si>
  <si>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</si>
  <si>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</si>
  <si>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</si>
  <si>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</si>
  <si>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</si>
  <si>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</si>
  <si>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</si>
  <si>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</si>
  <si>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</si>
  <si>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</si>
  <si>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</si>
  <si>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</si>
  <si>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</si>
  <si>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</si>
  <si>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</si>
  <si>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</si>
  <si>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</si>
  <si>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</si>
  <si>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</si>
  <si>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</si>
  <si>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</si>
  <si>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</si>
  <si>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</si>
  <si>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</si>
  <si>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</si>
  <si>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</si>
  <si>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</si>
  <si>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</si>
  <si>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</si>
  <si>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</si>
  <si>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</si>
  <si>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</si>
  <si>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</si>
  <si>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</si>
  <si>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</si>
  <si>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</si>
  <si>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</si>
  <si>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</si>
  <si>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</si>
  <si>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</si>
  <si>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</si>
  <si>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</si>
  <si>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</si>
  <si>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</si>
  <si>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</si>
  <si>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</si>
  <si>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</si>
  <si>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</si>
  <si>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</si>
  <si>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</si>
  <si>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3.65</t>
  </si>
  <si>
    <t>3.66</t>
  </si>
  <si>
    <t>3.67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</si>
  <si>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</si>
  <si>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</si>
  <si>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</si>
  <si>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</si>
  <si>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</si>
  <si>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</si>
  <si>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</si>
  <si>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</si>
  <si>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</si>
  <si>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</si>
  <si>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</si>
  <si>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</si>
  <si>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</si>
  <si>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</si>
  <si>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3.84</t>
  </si>
  <si>
    <t>3.85</t>
  </si>
  <si>
    <t>3.86</t>
  </si>
  <si>
    <t>3.87</t>
  </si>
  <si>
    <t>3.88</t>
  </si>
  <si>
    <t>3.89</t>
  </si>
  <si>
    <t>3.90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</si>
  <si>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</si>
  <si>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</si>
  <si>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</si>
  <si>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</si>
  <si>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</si>
  <si>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</si>
  <si>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</si>
  <si>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</si>
  <si>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</si>
  <si>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</si>
  <si>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</si>
  <si>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</si>
  <si>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</si>
  <si>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</si>
  <si>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</si>
  <si>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</si>
  <si>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</si>
  <si>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</si>
  <si>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</si>
  <si>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</si>
  <si>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</si>
  <si>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</si>
  <si>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</si>
  <si>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</si>
  <si>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</si>
  <si>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4.1</t>
  </si>
  <si>
    <t>3.121</t>
  </si>
  <si>
    <t>3.122</t>
  </si>
  <si>
    <t>3.123</t>
  </si>
  <si>
    <t>3.124</t>
  </si>
  <si>
    <t>3. FOURNITURES HORTICOLES &amp; GARANTIE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</si>
  <si>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</si>
  <si>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</si>
  <si>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</si>
  <si>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</si>
  <si>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</si>
  <si>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</si>
  <si>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</si>
  <si>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</si>
  <si>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</si>
  <si>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</si>
  <si>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 xml:space="preserve">TRAVAUX PRÉPARATOIRES </t>
  </si>
  <si>
    <t>Fertilisant plantes - Trilis - Biostimulants terra fertilis plantes / 1kg/arbres et cépées</t>
  </si>
  <si>
    <t>Fertilisant plantes - Trilis - Biostimulants terra fertilis plantes / 100g/arbustes</t>
  </si>
  <si>
    <t>Fertilisant sols - Biochar - Crescilis de terra fertilis / 500kg/ha *1 hectares</t>
  </si>
  <si>
    <t>Kg</t>
  </si>
  <si>
    <t>Acer campestre - 20-25 - MG - 3trp</t>
  </si>
  <si>
    <t>Fraxinus ornus - 300/350 - MG - 3/5tr - 3trp</t>
  </si>
  <si>
    <t xml:space="preserve">Achillea millefolium 'Apricot delight', G9, vivace (AmAd) </t>
  </si>
  <si>
    <t>Cimicifuga simplex 'White Pearl', G9, vivace (CsWp)</t>
  </si>
  <si>
    <t xml:space="preserve">Echinacea purpurea 'Sundown', G9, vivace (Eps) </t>
  </si>
  <si>
    <t>Euphorbia characias 'Wufenii', G9, vivace (EcW)</t>
  </si>
  <si>
    <t>Pennisetum orientale 'Shogun', G9, vivace (PoS)</t>
  </si>
  <si>
    <t>Persicaria amplexicaulis, G9, vivace (Pam)</t>
  </si>
  <si>
    <t xml:space="preserve">Massif 'Entrée' - 100 m² </t>
  </si>
  <si>
    <t xml:space="preserve">Massif 'Parvis' - 19 m² </t>
  </si>
  <si>
    <t xml:space="preserve">Stipa pennata, G9, graminée, d=6u/m2 (Sp) </t>
  </si>
  <si>
    <t>Allium lavender, bulbe, d=5u/m2 (Al)</t>
  </si>
  <si>
    <t xml:space="preserve">Dahlia ‘Joey Winnie’, bulbe, d=5u/m2 (DJw) </t>
  </si>
  <si>
    <t>Ipheion uniflorum ‘Wisley Blue’, bulbe, d=5u/m2 (IuWb)</t>
  </si>
  <si>
    <t>Tulipia ‘Yellow Spider’, bulbe, d=5u/m2 (TYs)</t>
  </si>
  <si>
    <t>Massif 'Parc' - 50 m²</t>
  </si>
  <si>
    <t xml:space="preserve">Achillea millefolium 'hella Glashoff', G9, vivace (AmH) </t>
  </si>
  <si>
    <t xml:space="preserve">Centranthus 'Ruber coccineus', G9, vivace (CrC) </t>
  </si>
  <si>
    <t xml:space="preserve">Echinacea 'Prima ruby', G9, vivace (EpPr) </t>
  </si>
  <si>
    <t xml:space="preserve">Echinacea 'Green Jewel', G9, vivace (EpGj) </t>
  </si>
  <si>
    <t xml:space="preserve">Eupatorium maculatum 'Atropurpureum', G9, vivace (Em) </t>
  </si>
  <si>
    <t xml:space="preserve">Foeniculum vulgare, G9, vivace (Fv) </t>
  </si>
  <si>
    <t xml:space="preserve">Kniphotia 'Flamenco', G9, vivace (KF) </t>
  </si>
  <si>
    <t xml:space="preserve">Pennisetum alopecuroides, G9, graminée (PAl) </t>
  </si>
  <si>
    <t xml:space="preserve">Pennisetum orientale 'Shogun' , G9, graminée (PoS) </t>
  </si>
  <si>
    <t xml:space="preserve">Persicaria amplexicaulis , G9, vivace (PAm) </t>
  </si>
  <si>
    <t xml:space="preserve">Veronicastrum virginicum 'Album', G9, vivace (Vva) </t>
  </si>
  <si>
    <t xml:space="preserve">Cimicituga simplex 'White Pearl', G9, vivace (CsWp) </t>
  </si>
  <si>
    <t>Allium angulosum, bulbe, d=10u/m2 (Aa)</t>
  </si>
  <si>
    <t>Anemone 'Regal Swan', G9, vivace, d=8u/m2 (AjRs)</t>
  </si>
  <si>
    <t>Astilbe japonica, G9, vivace, d=8u/m2 (Aj)</t>
  </si>
  <si>
    <t>Salvia nemorosa 'Mainacht', G9, vivace, d=8u/m2 (SnM)</t>
  </si>
  <si>
    <t>Thalictrum delavayi 'Splendide',  touffe forte, 80/100, M (TdS)</t>
  </si>
  <si>
    <t xml:space="preserve">Massif 'Jardin SMR' - 40 m² </t>
  </si>
  <si>
    <t>Verbena bonariensis, G9 , vivace, d=9u/m2 (Vb)</t>
  </si>
  <si>
    <t>Hydrangea macrophylla 'Splendide', touffe forte, 80/100, M (HmP)</t>
  </si>
  <si>
    <t>Pittosporum tobira, touffe fote, 100/120, M (Pt)</t>
  </si>
  <si>
    <t>PATIO &amp; TERRASSE SMR</t>
  </si>
  <si>
    <t>Dryopteris filix mas, G9, fougère, d=8u/m2 (Dfm)</t>
  </si>
  <si>
    <t>Hosta sieboldiana 'Elegans', G9, vivace, d=9u/m2 (HsE)</t>
  </si>
  <si>
    <t>Hosta tardiana 'Halcyon', G9, vivace, d=10u/m2 (HtH)</t>
  </si>
  <si>
    <t>Iex crenata, touffe forte, 80/100, M, arbuste (Ic)</t>
  </si>
  <si>
    <t>Pachysandra terminalis, G9, vivace, d=8u/m2 (Pat)</t>
  </si>
  <si>
    <t>Sarcococca confusa, touffe forte, 100/120, M (Sc)</t>
  </si>
  <si>
    <t xml:space="preserve">Massif 'Jardin PASS' - 70m² </t>
  </si>
  <si>
    <t xml:space="preserve">Massif 'Jardin commun' - 121 m² </t>
  </si>
  <si>
    <t xml:space="preserve">Massif  'Jardins Alzheimer' - 141 m² </t>
  </si>
  <si>
    <t xml:space="preserve">Massif 'Jardins PASA' - 83 m² </t>
  </si>
  <si>
    <t>Acorus calamus, G9, vivace, d=9u/m2</t>
  </si>
  <si>
    <t>Carex pendula, G9, vivace, d=9u/m2</t>
  </si>
  <si>
    <t>Filipendula ulmaria, G9, vivace, d=9u/m2</t>
  </si>
  <si>
    <t>Persicaria amplexicaulis 'Bloody Mary', G9, vivace, d=9u/m2</t>
  </si>
  <si>
    <t>Phalaris arundinacea, G9, vivace, d=9u/m2</t>
  </si>
  <si>
    <t>Veronicastrum virginicum 'Erika', G9, vivace, d=9u/m2</t>
  </si>
  <si>
    <t xml:space="preserve">Massif  'Bassin et noues' - 150 m² </t>
  </si>
  <si>
    <t>Achillea millefolium 'Salmon beauty', G9, vivace, d=8u/m2 (AmS)</t>
  </si>
  <si>
    <t>Astible japonica 'Deutschland', G9, vivace, d=8u/m2 (Aj)</t>
  </si>
  <si>
    <t>Chaenomeles speciosa 'Geisha girl', touffe forte, 80/100, M (CsGg)</t>
  </si>
  <si>
    <t xml:space="preserve">Cimicifuga simplex 'White Pearl', G9, vivace, d=8u/m2 (CsWp) </t>
  </si>
  <si>
    <t>Dahlia x hybrida 'Bishop's children', G9, vivace , d=8u/m2 (DhB)</t>
  </si>
  <si>
    <t>Pennisetum alopecuroides, G9, graminée,  d=8u/m2 (Pal)</t>
  </si>
  <si>
    <t>Philadelphus 'Manteau d'Hermine',  touffe forte, 80/100, M ( PMh)</t>
  </si>
  <si>
    <t>Rosa caramella, touffe forte, 80/100, M (Rc)</t>
  </si>
  <si>
    <t>Verbascum 'Jackie', G9, vivace, d=8u/m2 (VJ)</t>
  </si>
  <si>
    <t>Achillea millefolium 'Hella Gashoff', G9, vivace,  d=9u/m2 (AmH)</t>
  </si>
  <si>
    <t>Achillea millefolium 'Hoffnung', G9, vivace, d=9u/m2 (AmHn)</t>
  </si>
  <si>
    <t>Actaea matsumurae 'White Pearl', G9, vivace, d=8u/m2 (AmWp)</t>
  </si>
  <si>
    <t>Astible japonica 'Deutschland', G9, vivace, d=8u/m2 (AjD)</t>
  </si>
  <si>
    <t>Deschampsia cepitosa 'Bronzeschleier', G9, graminée, d=8u/m2 (DcB)</t>
  </si>
  <si>
    <t>Euphorbia characias 'Wufenii', G9, vivace, d=8u/m2 (EcW)</t>
  </si>
  <si>
    <t>Thalictrum sphaerostachyum, G9, vivace, d=8u/m2 (Ts)</t>
  </si>
  <si>
    <t>Veronicastrum virginicum 'Album', G9, vivace , d=8u/m2 (VvA)</t>
  </si>
  <si>
    <t>Achillea millefolium 'Hella Gashoff', G9, vivace, d=8u/m2 (AmH)</t>
  </si>
  <si>
    <t>Astible japonica 'Deutschland', G9, vivace, d=8u/m2</t>
  </si>
  <si>
    <t>Deschampsia cepitosa 'Bronzeschleier', G9, graminée (DcB)</t>
  </si>
  <si>
    <t>Echinacea purpurea 'Sundown', G9, vivace, d=8u/m2 (EcP)</t>
  </si>
  <si>
    <t>Eupatorium maculatum 'Atropurpureum', G9, vivace , d=8u/m2 (EmA)</t>
  </si>
  <si>
    <t>Filipendula palmata 'Nana', G9, vivace, d=8u/m2 (FpN)</t>
  </si>
  <si>
    <t>Thalictrum aquilegofolium 'Album', G9, vivace, d=8u/m2 (TaA)</t>
  </si>
  <si>
    <t>Deschampsia cepitosa 'Bronzeschleier', G9, graminée, d=8u/m2 (Dc)</t>
  </si>
  <si>
    <t>Lavandula stoechas, G9, vivace, d=8u/m2 (Ls)</t>
  </si>
  <si>
    <t>Santolina chamaecyparissus, G9, vivace, d=8u/m2 (Sch)</t>
  </si>
  <si>
    <t>Euphorbia characias 'Wufenii',  G9, vivace, d=8u/m2 (EcW)</t>
  </si>
  <si>
    <t>Verbena bonariensis, G9, vivace, d=8u/m2 (Vb)</t>
  </si>
  <si>
    <t>Pittosporum tobira, touffe forte, 100/120, M (Pt)</t>
  </si>
  <si>
    <t>2. TRAVAUX PREPARATOIRES ET PLANTATION</t>
  </si>
  <si>
    <t>TOUFFES FORTES // BALIVEAUX - Parking personnel</t>
  </si>
  <si>
    <t>Malus trilobata - 20-25 - MG - Haute tige - 3trp</t>
  </si>
  <si>
    <t>Ostrya carpinifolia  - 20-25 - MG - Tige fléchée - 3trp</t>
  </si>
  <si>
    <t>Ulmus parvifolia - 20-25 - MG - Haute tige - 3trp</t>
  </si>
  <si>
    <t>Alnus spaethii ' Spaeth' - 20-25 - MG - Haute tige - 3trp</t>
  </si>
  <si>
    <t>Acer palmatum 'Atrolineare' - 350/400 - MG - 3/5tr - 3trp</t>
  </si>
  <si>
    <t>Pterostyrax hispida - 250/300 - MG - 3/5 tr - 3trp</t>
  </si>
  <si>
    <t>Prunus 'Accolade' - 250/300 - MG - 3/5tr - 4trp</t>
  </si>
  <si>
    <t xml:space="preserve">Cornus 'Alba', 100/150, M, 3/5tr, 2trp </t>
  </si>
  <si>
    <t>Myrtus communis, 100/150, M, 3/5tr, 2trp</t>
  </si>
  <si>
    <t>Philadelphus 'Coronarius', 150/200, M, 3/5tr, 2trp</t>
  </si>
  <si>
    <t>Ribes sanguineum, 120/150, RN, 3/5 br, 2trp</t>
  </si>
  <si>
    <t>Sambucus raceamosa, 150/200, M, 3/5 br, 2trp</t>
  </si>
  <si>
    <t>Viburnum opulus, 120/150, RN, 3/5 tr, 2trp</t>
  </si>
  <si>
    <t>Malus 'Evereste' - 20-25 - MG - 3trp</t>
  </si>
  <si>
    <t xml:space="preserve">Carpinus betulus, 120/150, RN, 3/5tr, 2trp </t>
  </si>
  <si>
    <t xml:space="preserve">Semences Nungesser pour prairie humide, mélange 'Primula', fleurs sauvages et graminées </t>
  </si>
  <si>
    <t xml:space="preserve">Semences pelouse </t>
  </si>
  <si>
    <t xml:space="preserve">Semences  Nungesser pour prairie naturelle, mélange 'Primula', fleurs sauvages et graminées </t>
  </si>
  <si>
    <t>ARBUSTES DE HAIE MIXTE - 1U/ML sur 168 ML</t>
  </si>
  <si>
    <t>HAIE PRÉFORMÉE  - 1U/ML sur 415 ML</t>
  </si>
  <si>
    <t xml:space="preserve">Tonte - 10 passages par an </t>
  </si>
  <si>
    <t>Fauche - 2 passages par an</t>
  </si>
  <si>
    <t xml:space="preserve">Arbre - taille annuelle </t>
  </si>
  <si>
    <t>Haie - taille annuelle</t>
  </si>
  <si>
    <t xml:space="preserve">Arbuste - taille annuelle </t>
  </si>
  <si>
    <t>5. ENTRETIEN DES ESPACES VEGETALISES - une année après réception</t>
  </si>
  <si>
    <t xml:space="preserve">Arrosage - 5 passage par an </t>
  </si>
  <si>
    <t xml:space="preserve">Complément copeau - annuel 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</si>
  <si>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</si>
  <si>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</si>
  <si>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</si>
  <si>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</si>
  <si>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</si>
  <si>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</si>
  <si>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</si>
  <si>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</si>
  <si>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</si>
  <si>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</si>
  <si>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</si>
  <si>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5.7</t>
  </si>
  <si>
    <t>5.8</t>
  </si>
  <si>
    <t>Sophora japonica - 300/350 - MG - 3/5 tr - 4trp</t>
  </si>
  <si>
    <t>3.42</t>
  </si>
  <si>
    <t xml:space="preserve">Sagina subulata, G9, couvre-sol vivace, d=10u/m2 - massif Terrasse personnel </t>
  </si>
  <si>
    <t>Jasminum 'Starry Night', C5L, 100/120, d=2u/ml</t>
  </si>
  <si>
    <t>Humulus lupulus 'Magnum', C5L, 100/120, d=2u/ml</t>
  </si>
  <si>
    <t>Lonicera japonica, C5L, 100/120, d=2u/ml</t>
  </si>
  <si>
    <t>Schizophragma hydrangeoïdes, C5L, 100/120, d=2u/ml</t>
  </si>
  <si>
    <t>Schizophragma 'Angel Wings', C5L, 100/120, d=2u/ml</t>
  </si>
  <si>
    <t>Schizophragma corylifolium, C5L, 100/120, d=2u/ml</t>
  </si>
  <si>
    <t>Solanum jasminoides 'Album', C5L, 100/120, d=2u/ml</t>
  </si>
  <si>
    <t>Trachelospermum jasminoides, C5L, 100/120, d=2u/ml</t>
  </si>
  <si>
    <t>3.64</t>
  </si>
  <si>
    <t>3.68</t>
  </si>
  <si>
    <t>3.83</t>
  </si>
  <si>
    <t>3.91</t>
  </si>
  <si>
    <t>3.92</t>
  </si>
  <si>
    <t>3.93</t>
  </si>
  <si>
    <t>3.102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</si>
  <si>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</si>
  <si>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</si>
  <si>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</si>
  <si>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</si>
  <si>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</si>
  <si>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</si>
  <si>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</si>
  <si>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</si>
  <si>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</si>
  <si>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</si>
  <si>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</si>
  <si>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3.137</t>
  </si>
  <si>
    <t xml:space="preserve">Fertilisant plantes - Trilis - Biostimulants terra fertilis plantes / 20g/m² massifs </t>
  </si>
  <si>
    <t>Accessoire de plantation - Tuteurage monopode - arbustes</t>
  </si>
  <si>
    <t>Accessoires de plantation - Tuteurage de haie - poteaux chatigner et fils mouton</t>
  </si>
  <si>
    <t xml:space="preserve">Accessoire de plantation - Tueurage quadripode - aligenement arbres tige </t>
  </si>
  <si>
    <t xml:space="preserve">Accessoire de plantation - Tuteurage tripode - arbre tige </t>
  </si>
  <si>
    <t>4.9</t>
  </si>
  <si>
    <t>Platanus orientalis  - 600/700 - MG - 3trp - Cépée</t>
  </si>
  <si>
    <t>Accessoire de plantation - Ancrage et sanglage de motte en pleine terre arbres remarquable et cépées</t>
  </si>
  <si>
    <t>Paillage géochanvre - longprotect avec agrafes - arbuste de haie et grimpantes</t>
  </si>
  <si>
    <t>Apport TV pour les massifs - 30cm d'épaisseur</t>
  </si>
  <si>
    <t>Apport TV pour les patios - 50cm d'épaisseur</t>
  </si>
  <si>
    <t>Apport TV pour les pelouses et prairies - 10cm d'épaisseur (à valider après analyse TV)</t>
  </si>
  <si>
    <t>Semis Pelouses et prairies</t>
  </si>
  <si>
    <t>4.10</t>
  </si>
  <si>
    <t>Support grimpantes - maille Jakob Rope Systems 'GreenSolutions', h.3m</t>
  </si>
  <si>
    <t>Plantation Vivaces, graminée</t>
  </si>
  <si>
    <t>4.13</t>
  </si>
  <si>
    <t xml:space="preserve">Préparation de sol, terrassement paysager et nivellement fin </t>
  </si>
  <si>
    <t>Quercus myrsinifolia - 300/350 - MG - 3/5 tr - 4trp</t>
  </si>
  <si>
    <t xml:space="preserve">MASSIFS FLEURIS - 645,5 m² </t>
  </si>
  <si>
    <t xml:space="preserve">Massif ' Jardins d'ombre' - SSOL et entrée SMR - 73,5 m² </t>
  </si>
  <si>
    <t>ACCESSOIRES DE PLANTATION</t>
  </si>
  <si>
    <t>4. ACCESSOIRES ET ÉQUIPEMENTS</t>
  </si>
  <si>
    <t>ÉQUIPEMENTS</t>
  </si>
  <si>
    <t>Semences microtrèfle pour terre-pierre</t>
  </si>
  <si>
    <t>PELOUSE ET PRAIRIES DIVERSES</t>
  </si>
  <si>
    <t xml:space="preserve">Cépée - taille annuelle </t>
  </si>
  <si>
    <t>Apport TV pour les fosses de plantation arbres et arbustes</t>
  </si>
  <si>
    <t>Semences mircotrègle pour béton végétalisé (exprimé en surface de béton végétalisé)</t>
  </si>
  <si>
    <t>3.136</t>
  </si>
  <si>
    <t xml:space="preserve">Apport TV et substrat pour les revêtements béton végétalisé et terre-pierre </t>
  </si>
  <si>
    <t>2.22</t>
  </si>
  <si>
    <t>Q MOE</t>
  </si>
  <si>
    <t>AVRIL 2025 - DCE - JANZE - LOT02 PAYSAGE ESPACES VERTS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</si>
</sst>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 * #,##0.00_)_ ;_ * \(#,##0.00\)_ ;_ * &quot;-&quot;??_)_ ;_ @_ "/>
    <numFmt numFmtId="164" formatCode="_-* #,##0.00\ &quot;€&quot;_-;\-* #,##0.00\ &quot;€&quot;_-;_-* &quot;-&quot;??\ &quot;€&quot;_-;_-@_-"/>
    <numFmt numFmtId="165" formatCode="_-* #,##0.00\ &quot;F&quot;_-;\-* #,##0.00\ &quot;F&quot;_-;_-* &quot;-&quot;??\ &quot;F&quot;_-;_-@_-"/>
    <numFmt numFmtId="166" formatCode="_-* #,##0.00\ [$€-40C]_-;\-* #,##0.00\ [$€-40C]_-;_-* &quot;-&quot;??\ [$€-40C]_-;_-@_-"/>
    <numFmt numFmtId="167" formatCode="#,##0.00\ &quot;€&quot;"/>
    <numFmt numFmtId="168" formatCode="#,##0.00\ &quot;F&quot;;\-#,##0.00\ &quot;F&quot;"/>
    <numFmt numFmtId="169" formatCode="#,##0.0"/>
    <numFmt numFmtId="170" formatCode="_-* #,##0.00\ [$€]_-;\-* #,##0.00\ [$€]_-;_-* &quot;-&quot;??\ [$€]_-;_-@_-"/>
    <numFmt numFmtId="171" formatCode="_ * #,##0_)_ ;_ * \(#,##0\)_ ;_ * &quot;-&quot;??_)_ ;_ @_ "/>
    <numFmt numFmtId="172" formatCode="_ * #,##0.0_)_ ;_ * \(#,##0.0\)_ ;_ * &quot;-&quot;??_)_ ;_ @_ "/>
  </numFmts>
  <fonts count="23">
    <font>
      <sz val="10"/>
      <name val="Arial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ail"/>
    </font>
    <font>
      <b/>
      <sz val="16"/>
      <color theme="0"/>
      <name val="Arial"/>
      <family val="2"/>
    </font>
    <font>
      <b/>
      <sz val="9"/>
      <color theme="0"/>
      <name val="Arial"/>
      <family val="2"/>
    </font>
    <font>
      <sz val="9"/>
      <color theme="2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DAEEF3"/>
        <bgColor rgb="FF000000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70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0" borderId="0"/>
    <xf numFmtId="43" fontId="21" fillId="0" borderId="0" applyFont="0" applyFill="0" applyBorder="0" applyAlignment="0" applyProtection="0"/>
  </cellStyleXfs>
  <cellXfs count="3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167" fontId="1" fillId="0" borderId="1" xfId="2" applyNumberFormat="1" applyFont="1" applyBorder="1" applyAlignment="1">
      <alignment horizontal="right"/>
    </xf>
    <xf numFmtId="168" fontId="1" fillId="0" borderId="2" xfId="2" applyNumberFormat="1" applyFont="1" applyBorder="1" applyAlignment="1">
      <alignment horizontal="center"/>
    </xf>
    <xf numFmtId="0" fontId="1" fillId="3" borderId="0" xfId="0" applyFont="1" applyFill="1"/>
    <xf numFmtId="0" fontId="1" fillId="0" borderId="2" xfId="0" applyFont="1" applyBorder="1" applyAlignment="1">
      <alignment horizontal="center"/>
    </xf>
    <xf numFmtId="166" fontId="1" fillId="0" borderId="2" xfId="2" applyNumberFormat="1" applyFont="1" applyBorder="1" applyAlignment="1">
      <alignment horizontal="right"/>
    </xf>
    <xf numFmtId="166" fontId="1" fillId="0" borderId="2" xfId="2" applyNumberFormat="1" applyFont="1" applyBorder="1" applyAlignment="1">
      <alignment horizontal="center"/>
    </xf>
    <xf numFmtId="168" fontId="1" fillId="0" borderId="2" xfId="2" applyNumberFormat="1" applyFont="1" applyBorder="1" applyAlignment="1">
      <alignment horizontal="right"/>
    </xf>
    <xf numFmtId="167" fontId="1" fillId="0" borderId="3" xfId="2" applyNumberFormat="1" applyFont="1" applyBorder="1" applyAlignment="1">
      <alignment horizontal="right"/>
    </xf>
    <xf numFmtId="0" fontId="1" fillId="3" borderId="3" xfId="0" applyFont="1" applyFill="1" applyBorder="1" applyAlignment="1">
      <alignment horizontal="center"/>
    </xf>
    <xf numFmtId="166" fontId="1" fillId="3" borderId="3" xfId="2" applyNumberFormat="1" applyFont="1" applyFill="1" applyBorder="1" applyAlignment="1">
      <alignment horizontal="center"/>
    </xf>
    <xf numFmtId="3" fontId="1" fillId="3" borderId="3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166" fontId="1" fillId="0" borderId="3" xfId="2" applyNumberFormat="1" applyFont="1" applyFill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168" fontId="7" fillId="2" borderId="3" xfId="2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center"/>
    </xf>
    <xf numFmtId="167" fontId="1" fillId="3" borderId="4" xfId="2" applyNumberFormat="1" applyFont="1" applyFill="1" applyBorder="1" applyAlignment="1">
      <alignment horizontal="right"/>
    </xf>
    <xf numFmtId="0" fontId="1" fillId="3" borderId="5" xfId="0" applyFont="1" applyFill="1" applyBorder="1" applyAlignment="1">
      <alignment horizontal="center"/>
    </xf>
    <xf numFmtId="167" fontId="1" fillId="3" borderId="5" xfId="2" applyNumberFormat="1" applyFont="1" applyFill="1" applyBorder="1" applyAlignment="1">
      <alignment horizontal="right"/>
    </xf>
    <xf numFmtId="0" fontId="1" fillId="0" borderId="6" xfId="0" applyFont="1" applyBorder="1"/>
    <xf numFmtId="0" fontId="0" fillId="0" borderId="3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67" fontId="1" fillId="4" borderId="3" xfId="2" applyNumberFormat="1" applyFont="1" applyFill="1" applyBorder="1" applyAlignment="1">
      <alignment horizontal="center" vertical="center" wrapText="1"/>
    </xf>
    <xf numFmtId="167" fontId="5" fillId="5" borderId="8" xfId="2" applyNumberFormat="1" applyFont="1" applyFill="1" applyBorder="1" applyAlignment="1">
      <alignment horizontal="right"/>
    </xf>
    <xf numFmtId="0" fontId="1" fillId="5" borderId="3" xfId="0" applyFont="1" applyFill="1" applyBorder="1" applyAlignment="1">
      <alignment horizontal="center" vertical="center"/>
    </xf>
    <xf numFmtId="167" fontId="5" fillId="5" borderId="3" xfId="2" applyNumberFormat="1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 wrapText="1"/>
    </xf>
    <xf numFmtId="3" fontId="1" fillId="4" borderId="3" xfId="0" applyNumberFormat="1" applyFont="1" applyFill="1" applyBorder="1" applyAlignment="1">
      <alignment horizontal="center" vertical="center" wrapText="1"/>
    </xf>
    <xf numFmtId="166" fontId="1" fillId="0" borderId="0" xfId="2" applyNumberFormat="1" applyFont="1" applyBorder="1" applyAlignment="1">
      <alignment horizontal="right"/>
    </xf>
    <xf numFmtId="168" fontId="1" fillId="0" borderId="0" xfId="2" applyNumberFormat="1" applyFont="1" applyBorder="1" applyAlignment="1">
      <alignment horizontal="right"/>
    </xf>
    <xf numFmtId="167" fontId="1" fillId="0" borderId="0" xfId="2" applyNumberFormat="1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/>
    </xf>
    <xf numFmtId="3" fontId="1" fillId="0" borderId="0" xfId="0" applyNumberFormat="1" applyFont="1"/>
    <xf numFmtId="167" fontId="1" fillId="3" borderId="3" xfId="2" applyNumberFormat="1" applyFont="1" applyFill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0" fontId="10" fillId="6" borderId="9" xfId="0" applyFont="1" applyFill="1" applyBorder="1"/>
    <xf numFmtId="0" fontId="1" fillId="6" borderId="6" xfId="0" applyFont="1" applyFill="1" applyBorder="1"/>
    <xf numFmtId="166" fontId="1" fillId="0" borderId="4" xfId="2" applyNumberFormat="1" applyFont="1" applyFill="1" applyBorder="1" applyAlignment="1">
      <alignment horizontal="center" vertical="center" wrapText="1"/>
    </xf>
    <xf numFmtId="166" fontId="1" fillId="0" borderId="1" xfId="2" applyNumberFormat="1" applyFont="1" applyFill="1" applyBorder="1" applyAlignment="1">
      <alignment horizontal="center"/>
    </xf>
    <xf numFmtId="166" fontId="5" fillId="0" borderId="1" xfId="2" applyNumberFormat="1" applyFont="1" applyFill="1" applyBorder="1" applyAlignment="1">
      <alignment horizontal="center" vertical="center"/>
    </xf>
    <xf numFmtId="166" fontId="7" fillId="0" borderId="1" xfId="2" applyNumberFormat="1" applyFont="1" applyFill="1" applyBorder="1" applyAlignment="1">
      <alignment horizontal="right" vertical="center"/>
    </xf>
    <xf numFmtId="167" fontId="5" fillId="5" borderId="10" xfId="2" applyNumberFormat="1" applyFont="1" applyFill="1" applyBorder="1" applyAlignment="1">
      <alignment horizontal="right"/>
    </xf>
    <xf numFmtId="3" fontId="1" fillId="0" borderId="5" xfId="0" applyNumberFormat="1" applyFont="1" applyBorder="1" applyAlignment="1">
      <alignment horizontal="center"/>
    </xf>
    <xf numFmtId="167" fontId="5" fillId="0" borderId="11" xfId="2" applyNumberFormat="1" applyFont="1" applyFill="1" applyBorder="1" applyAlignment="1"/>
    <xf numFmtId="167" fontId="5" fillId="5" borderId="9" xfId="2" applyNumberFormat="1" applyFont="1" applyFill="1" applyBorder="1" applyAlignment="1">
      <alignment horizontal="center" vertical="center"/>
    </xf>
    <xf numFmtId="166" fontId="5" fillId="2" borderId="3" xfId="2" applyNumberFormat="1" applyFont="1" applyFill="1" applyBorder="1" applyAlignment="1">
      <alignment horizontal="right"/>
    </xf>
    <xf numFmtId="0" fontId="15" fillId="6" borderId="9" xfId="0" applyFont="1" applyFill="1" applyBorder="1" applyAlignment="1">
      <alignment vertical="center"/>
    </xf>
    <xf numFmtId="0" fontId="15" fillId="6" borderId="6" xfId="0" applyFont="1" applyFill="1" applyBorder="1" applyAlignment="1">
      <alignment vertical="center"/>
    </xf>
    <xf numFmtId="0" fontId="1" fillId="0" borderId="3" xfId="0" applyFont="1" applyBorder="1" applyAlignment="1">
      <alignment horizontal="center"/>
    </xf>
    <xf numFmtId="0" fontId="1" fillId="3" borderId="5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1" fillId="0" borderId="13" xfId="0" applyFont="1" applyBorder="1"/>
    <xf numFmtId="0" fontId="11" fillId="0" borderId="11" xfId="0" applyFont="1" applyBorder="1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167" fontId="1" fillId="4" borderId="15" xfId="2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167" fontId="1" fillId="0" borderId="17" xfId="2" applyNumberFormat="1" applyFont="1" applyBorder="1" applyAlignment="1">
      <alignment horizontal="right"/>
    </xf>
    <xf numFmtId="0" fontId="4" fillId="3" borderId="16" xfId="0" applyFont="1" applyFill="1" applyBorder="1" applyAlignment="1">
      <alignment horizontal="center" vertical="center" wrapText="1"/>
    </xf>
    <xf numFmtId="167" fontId="1" fillId="3" borderId="18" xfId="2" applyNumberFormat="1" applyFont="1" applyFill="1" applyBorder="1" applyAlignment="1">
      <alignment horizontal="right"/>
    </xf>
    <xf numFmtId="0" fontId="1" fillId="0" borderId="3" xfId="0" applyFont="1" applyBorder="1"/>
    <xf numFmtId="0" fontId="1" fillId="0" borderId="3" xfId="0" applyFont="1" applyBorder="1" applyAlignment="1">
      <alignment horizontal="left" vertical="center"/>
    </xf>
    <xf numFmtId="0" fontId="1" fillId="7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/>
    </xf>
    <xf numFmtId="166" fontId="1" fillId="7" borderId="3" xfId="2" applyNumberFormat="1" applyFont="1" applyFill="1" applyBorder="1" applyAlignment="1">
      <alignment horizontal="center"/>
    </xf>
    <xf numFmtId="167" fontId="1" fillId="7" borderId="3" xfId="2" applyNumberFormat="1" applyFont="1" applyFill="1" applyBorder="1" applyAlignment="1">
      <alignment horizontal="right"/>
    </xf>
    <xf numFmtId="0" fontId="0" fillId="7" borderId="3" xfId="0" applyFill="1" applyBorder="1" applyAlignment="1">
      <alignment horizontal="center" vertical="center"/>
    </xf>
    <xf numFmtId="0" fontId="1" fillId="7" borderId="0" xfId="0" applyFont="1" applyFill="1"/>
    <xf numFmtId="3" fontId="1" fillId="7" borderId="3" xfId="0" applyNumberFormat="1" applyFont="1" applyFill="1" applyBorder="1" applyAlignment="1">
      <alignment horizontal="center"/>
    </xf>
    <xf numFmtId="167" fontId="1" fillId="0" borderId="3" xfId="2" applyNumberFormat="1" applyFont="1" applyFill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166" fontId="1" fillId="3" borderId="5" xfId="2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167" fontId="1" fillId="0" borderId="5" xfId="2" applyNumberFormat="1" applyFont="1" applyBorder="1" applyAlignment="1">
      <alignment horizontal="right"/>
    </xf>
    <xf numFmtId="167" fontId="1" fillId="0" borderId="3" xfId="2" applyNumberFormat="1" applyFont="1" applyFill="1" applyBorder="1" applyAlignment="1">
      <alignment horizontal="center"/>
    </xf>
    <xf numFmtId="3" fontId="1" fillId="8" borderId="4" xfId="0" applyNumberFormat="1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3" fontId="1" fillId="8" borderId="3" xfId="0" applyNumberFormat="1" applyFont="1" applyFill="1" applyBorder="1" applyAlignment="1">
      <alignment horizontal="center"/>
    </xf>
    <xf numFmtId="0" fontId="1" fillId="7" borderId="3" xfId="2" applyNumberFormat="1" applyFont="1" applyFill="1" applyBorder="1" applyAlignment="1">
      <alignment horizontal="center" vertical="center"/>
    </xf>
    <xf numFmtId="166" fontId="1" fillId="0" borderId="3" xfId="2" applyNumberFormat="1" applyFont="1" applyBorder="1" applyAlignment="1">
      <alignment horizontal="right"/>
    </xf>
    <xf numFmtId="0" fontId="0" fillId="8" borderId="3" xfId="0" applyFill="1" applyBorder="1" applyAlignment="1">
      <alignment horizontal="center" vertical="center"/>
    </xf>
    <xf numFmtId="167" fontId="1" fillId="0" borderId="5" xfId="2" applyNumberFormat="1" applyFont="1" applyFill="1" applyBorder="1" applyAlignment="1">
      <alignment horizontal="right"/>
    </xf>
    <xf numFmtId="0" fontId="18" fillId="0" borderId="3" xfId="3" applyFont="1" applyBorder="1" applyAlignment="1">
      <alignment vertical="center" wrapText="1"/>
    </xf>
    <xf numFmtId="0" fontId="1" fillId="0" borderId="21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167" fontId="1" fillId="8" borderId="5" xfId="2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166" fontId="1" fillId="0" borderId="5" xfId="2" applyNumberFormat="1" applyFont="1" applyFill="1" applyBorder="1" applyAlignment="1">
      <alignment horizontal="center"/>
    </xf>
    <xf numFmtId="167" fontId="1" fillId="0" borderId="19" xfId="2" applyNumberFormat="1" applyFont="1" applyFill="1" applyBorder="1" applyAlignment="1">
      <alignment horizontal="right"/>
    </xf>
    <xf numFmtId="167" fontId="5" fillId="5" borderId="22" xfId="2" applyNumberFormat="1" applyFont="1" applyFill="1" applyBorder="1" applyAlignment="1">
      <alignment horizontal="right"/>
    </xf>
    <xf numFmtId="167" fontId="1" fillId="0" borderId="19" xfId="2" applyNumberFormat="1" applyFont="1" applyBorder="1" applyAlignment="1">
      <alignment horizontal="right"/>
    </xf>
    <xf numFmtId="167" fontId="1" fillId="7" borderId="19" xfId="2" applyNumberFormat="1" applyFont="1" applyFill="1" applyBorder="1" applyAlignment="1">
      <alignment horizontal="right"/>
    </xf>
    <xf numFmtId="167" fontId="1" fillId="8" borderId="3" xfId="2" applyNumberFormat="1" applyFont="1" applyFill="1" applyBorder="1" applyAlignment="1">
      <alignment horizontal="right"/>
    </xf>
    <xf numFmtId="166" fontId="1" fillId="4" borderId="19" xfId="2" applyNumberFormat="1" applyFont="1" applyFill="1" applyBorder="1" applyAlignment="1">
      <alignment horizontal="center" vertical="center" wrapText="1"/>
    </xf>
    <xf numFmtId="166" fontId="1" fillId="3" borderId="23" xfId="2" applyNumberFormat="1" applyFont="1" applyFill="1" applyBorder="1" applyAlignment="1">
      <alignment horizontal="center"/>
    </xf>
    <xf numFmtId="166" fontId="1" fillId="3" borderId="19" xfId="2" applyNumberFormat="1" applyFont="1" applyFill="1" applyBorder="1" applyAlignment="1">
      <alignment horizontal="center"/>
    </xf>
    <xf numFmtId="3" fontId="1" fillId="4" borderId="21" xfId="0" applyNumberFormat="1" applyFont="1" applyFill="1" applyBorder="1" applyAlignment="1">
      <alignment horizontal="center" vertical="center" wrapText="1"/>
    </xf>
    <xf numFmtId="168" fontId="1" fillId="0" borderId="0" xfId="2" applyNumberFormat="1" applyFont="1" applyBorder="1" applyAlignment="1">
      <alignment horizontal="center"/>
    </xf>
    <xf numFmtId="3" fontId="1" fillId="3" borderId="24" xfId="0" applyNumberFormat="1" applyFont="1" applyFill="1" applyBorder="1" applyAlignment="1">
      <alignment horizontal="center"/>
    </xf>
    <xf numFmtId="167" fontId="5" fillId="5" borderId="6" xfId="2" applyNumberFormat="1" applyFont="1" applyFill="1" applyBorder="1" applyAlignment="1">
      <alignment horizontal="center" vertical="center"/>
    </xf>
    <xf numFmtId="3" fontId="1" fillId="3" borderId="21" xfId="0" applyNumberFormat="1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8" fillId="0" borderId="4" xfId="3" applyFont="1" applyBorder="1" applyAlignment="1">
      <alignment vertical="center" wrapText="1"/>
    </xf>
    <xf numFmtId="166" fontId="1" fillId="0" borderId="20" xfId="2" applyNumberFormat="1" applyFont="1" applyFill="1" applyBorder="1" applyAlignment="1">
      <alignment horizontal="center"/>
    </xf>
    <xf numFmtId="167" fontId="1" fillId="8" borderId="5" xfId="2" applyNumberFormat="1" applyFont="1" applyFill="1" applyBorder="1" applyAlignment="1">
      <alignment horizontal="right"/>
    </xf>
    <xf numFmtId="167" fontId="1" fillId="8" borderId="19" xfId="2" applyNumberFormat="1" applyFont="1" applyFill="1" applyBorder="1" applyAlignment="1">
      <alignment horizontal="right"/>
    </xf>
    <xf numFmtId="169" fontId="1" fillId="8" borderId="5" xfId="0" applyNumberFormat="1" applyFont="1" applyFill="1" applyBorder="1" applyAlignment="1">
      <alignment horizontal="center"/>
    </xf>
    <xf numFmtId="167" fontId="1" fillId="8" borderId="4" xfId="2" applyNumberFormat="1" applyFont="1" applyFill="1" applyBorder="1" applyAlignment="1">
      <alignment horizontal="right"/>
    </xf>
    <xf numFmtId="167" fontId="1" fillId="8" borderId="23" xfId="2" applyNumberFormat="1" applyFont="1" applyFill="1" applyBorder="1" applyAlignment="1">
      <alignment horizontal="right"/>
    </xf>
    <xf numFmtId="167" fontId="1" fillId="4" borderId="19" xfId="2" applyNumberFormat="1" applyFont="1" applyFill="1" applyBorder="1" applyAlignment="1">
      <alignment horizontal="center" vertical="center" wrapText="1"/>
    </xf>
    <xf numFmtId="167" fontId="1" fillId="0" borderId="2" xfId="2" applyNumberFormat="1" applyFont="1" applyBorder="1" applyAlignment="1">
      <alignment horizontal="right"/>
    </xf>
    <xf numFmtId="167" fontId="1" fillId="3" borderId="23" xfId="2" applyNumberFormat="1" applyFont="1" applyFill="1" applyBorder="1" applyAlignment="1">
      <alignment horizontal="right"/>
    </xf>
    <xf numFmtId="167" fontId="1" fillId="3" borderId="25" xfId="2" applyNumberFormat="1" applyFont="1" applyFill="1" applyBorder="1" applyAlignment="1">
      <alignment horizontal="right"/>
    </xf>
    <xf numFmtId="167" fontId="1" fillId="0" borderId="23" xfId="2" applyNumberFormat="1" applyFont="1" applyBorder="1" applyAlignment="1">
      <alignment horizontal="right"/>
    </xf>
    <xf numFmtId="167" fontId="5" fillId="5" borderId="19" xfId="2" applyNumberFormat="1" applyFont="1" applyFill="1" applyBorder="1" applyAlignment="1">
      <alignment horizontal="right" vertical="center"/>
    </xf>
    <xf numFmtId="166" fontId="5" fillId="2" borderId="19" xfId="2" applyNumberFormat="1" applyFont="1" applyFill="1" applyBorder="1" applyAlignment="1">
      <alignment horizontal="right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/>
    <xf numFmtId="0" fontId="1" fillId="3" borderId="26" xfId="0" applyFont="1" applyFill="1" applyBorder="1" applyAlignment="1">
      <alignment horizontal="center" vertical="center" wrapText="1"/>
    </xf>
    <xf numFmtId="0" fontId="14" fillId="0" borderId="26" xfId="3" applyFont="1" applyBorder="1" applyAlignment="1">
      <alignment vertical="center" wrapText="1"/>
    </xf>
    <xf numFmtId="0" fontId="1" fillId="3" borderId="26" xfId="0" applyFont="1" applyFill="1" applyBorder="1" applyAlignment="1">
      <alignment horizontal="center"/>
    </xf>
    <xf numFmtId="166" fontId="1" fillId="3" borderId="26" xfId="2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/>
    </xf>
    <xf numFmtId="0" fontId="1" fillId="3" borderId="3" xfId="0" applyFont="1" applyFill="1" applyBorder="1"/>
    <xf numFmtId="0" fontId="19" fillId="0" borderId="3" xfId="0" applyFont="1" applyBorder="1"/>
    <xf numFmtId="167" fontId="5" fillId="5" borderId="6" xfId="2" applyNumberFormat="1" applyFont="1" applyFill="1" applyBorder="1" applyAlignment="1">
      <alignment horizontal="right"/>
    </xf>
    <xf numFmtId="167" fontId="1" fillId="8" borderId="25" xfId="2" applyNumberFormat="1" applyFont="1" applyFill="1" applyBorder="1" applyAlignment="1">
      <alignment horizontal="right"/>
    </xf>
    <xf numFmtId="167" fontId="1" fillId="0" borderId="25" xfId="2" applyNumberFormat="1" applyFont="1" applyFill="1" applyBorder="1" applyAlignment="1">
      <alignment horizontal="right"/>
    </xf>
    <xf numFmtId="167" fontId="1" fillId="8" borderId="25" xfId="2" applyNumberFormat="1" applyFont="1" applyFill="1" applyBorder="1" applyAlignment="1">
      <alignment horizontal="center"/>
    </xf>
    <xf numFmtId="167" fontId="1" fillId="0" borderId="25" xfId="2" applyNumberFormat="1" applyFont="1" applyBorder="1" applyAlignment="1">
      <alignment horizontal="right"/>
    </xf>
    <xf numFmtId="3" fontId="1" fillId="8" borderId="21" xfId="0" applyNumberFormat="1" applyFont="1" applyFill="1" applyBorder="1" applyAlignment="1">
      <alignment horizontal="center"/>
    </xf>
    <xf numFmtId="3" fontId="1" fillId="8" borderId="24" xfId="0" applyNumberFormat="1" applyFont="1" applyFill="1" applyBorder="1" applyAlignment="1">
      <alignment horizontal="center"/>
    </xf>
    <xf numFmtId="0" fontId="1" fillId="8" borderId="27" xfId="0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1" fillId="8" borderId="2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167" fontId="1" fillId="8" borderId="27" xfId="2" applyNumberFormat="1" applyFont="1" applyFill="1" applyBorder="1" applyAlignment="1">
      <alignment horizontal="center" vertical="center"/>
    </xf>
    <xf numFmtId="167" fontId="1" fillId="8" borderId="21" xfId="2" applyNumberFormat="1" applyFont="1" applyFill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/>
    </xf>
    <xf numFmtId="0" fontId="0" fillId="7" borderId="21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167" fontId="1" fillId="7" borderId="21" xfId="2" applyNumberFormat="1" applyFont="1" applyFill="1" applyBorder="1" applyAlignment="1">
      <alignment horizontal="right"/>
    </xf>
    <xf numFmtId="0" fontId="0" fillId="8" borderId="21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0" borderId="21" xfId="0" applyBorder="1" applyAlignment="1">
      <alignment horizontal="center" vertical="center"/>
    </xf>
    <xf numFmtId="169" fontId="1" fillId="8" borderId="21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168" fontId="7" fillId="2" borderId="21" xfId="2" applyNumberFormat="1" applyFont="1" applyFill="1" applyBorder="1" applyAlignment="1">
      <alignment horizontal="right"/>
    </xf>
    <xf numFmtId="166" fontId="1" fillId="0" borderId="0" xfId="2" applyNumberFormat="1" applyFont="1" applyFill="1" applyBorder="1" applyAlignment="1">
      <alignment horizontal="center"/>
    </xf>
    <xf numFmtId="167" fontId="5" fillId="0" borderId="0" xfId="2" applyNumberFormat="1" applyFont="1" applyFill="1" applyBorder="1" applyAlignment="1"/>
    <xf numFmtId="164" fontId="1" fillId="0" borderId="0" xfId="0" applyNumberFormat="1" applyFont="1" applyAlignment="1">
      <alignment horizontal="center"/>
    </xf>
    <xf numFmtId="166" fontId="1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/>
    <xf numFmtId="167" fontId="1" fillId="0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5" fillId="0" borderId="6" xfId="0" applyFont="1" applyBorder="1" applyAlignment="1">
      <alignment vertical="center"/>
    </xf>
    <xf numFmtId="166" fontId="1" fillId="0" borderId="0" xfId="2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166" fontId="1" fillId="0" borderId="2" xfId="2" applyNumberFormat="1" applyFont="1" applyFill="1" applyBorder="1" applyAlignment="1">
      <alignment horizontal="right"/>
    </xf>
    <xf numFmtId="3" fontId="1" fillId="0" borderId="27" xfId="0" applyNumberFormat="1" applyFont="1" applyBorder="1" applyAlignment="1">
      <alignment horizontal="center"/>
    </xf>
    <xf numFmtId="3" fontId="1" fillId="3" borderId="27" xfId="0" applyNumberFormat="1" applyFont="1" applyFill="1" applyBorder="1" applyAlignment="1">
      <alignment horizontal="center"/>
    </xf>
    <xf numFmtId="3" fontId="1" fillId="3" borderId="12" xfId="0" applyNumberFormat="1" applyFont="1" applyFill="1" applyBorder="1" applyAlignment="1">
      <alignment horizontal="center"/>
    </xf>
    <xf numFmtId="3" fontId="1" fillId="7" borderId="24" xfId="0" applyNumberFormat="1" applyFont="1" applyFill="1" applyBorder="1" applyAlignment="1">
      <alignment horizontal="center"/>
    </xf>
    <xf numFmtId="166" fontId="1" fillId="0" borderId="12" xfId="2" applyNumberFormat="1" applyFont="1" applyFill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1" fillId="0" borderId="12" xfId="0" applyFont="1" applyBorder="1"/>
    <xf numFmtId="166" fontId="1" fillId="0" borderId="1" xfId="2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/>
    </xf>
    <xf numFmtId="167" fontId="1" fillId="0" borderId="0" xfId="2" applyNumberFormat="1" applyFont="1" applyFill="1" applyBorder="1" applyAlignment="1">
      <alignment horizontal="right"/>
    </xf>
    <xf numFmtId="0" fontId="15" fillId="0" borderId="1" xfId="0" applyFont="1" applyBorder="1" applyAlignment="1">
      <alignment vertical="center"/>
    </xf>
    <xf numFmtId="167" fontId="1" fillId="0" borderId="1" xfId="2" applyNumberFormat="1" applyFont="1" applyFill="1" applyBorder="1" applyAlignment="1">
      <alignment horizontal="right"/>
    </xf>
    <xf numFmtId="3" fontId="1" fillId="8" borderId="12" xfId="0" applyNumberFormat="1" applyFont="1" applyFill="1" applyBorder="1" applyAlignment="1">
      <alignment horizontal="center"/>
    </xf>
    <xf numFmtId="0" fontId="1" fillId="8" borderId="21" xfId="0" applyFont="1" applyFill="1" applyBorder="1" applyAlignment="1">
      <alignment horizontal="center" vertical="center"/>
    </xf>
    <xf numFmtId="0" fontId="1" fillId="7" borderId="21" xfId="2" applyNumberFormat="1" applyFont="1" applyFill="1" applyBorder="1" applyAlignment="1">
      <alignment horizontal="center"/>
    </xf>
    <xf numFmtId="0" fontId="17" fillId="8" borderId="21" xfId="0" applyFont="1" applyFill="1" applyBorder="1" applyAlignment="1">
      <alignment horizontal="center" vertical="center"/>
    </xf>
    <xf numFmtId="0" fontId="1" fillId="8" borderId="21" xfId="0" applyFont="1" applyFill="1" applyBorder="1"/>
    <xf numFmtId="167" fontId="1" fillId="0" borderId="1" xfId="2" applyNumberFormat="1" applyFont="1" applyFill="1" applyBorder="1" applyAlignment="1"/>
    <xf numFmtId="167" fontId="18" fillId="0" borderId="25" xfId="2" applyNumberFormat="1" applyFont="1" applyFill="1" applyBorder="1" applyAlignment="1">
      <alignment horizontal="right"/>
    </xf>
    <xf numFmtId="167" fontId="1" fillId="7" borderId="25" xfId="2" applyNumberFormat="1" applyFont="1" applyFill="1" applyBorder="1" applyAlignment="1">
      <alignment horizontal="right"/>
    </xf>
    <xf numFmtId="0" fontId="1" fillId="8" borderId="12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 vertical="center"/>
    </xf>
    <xf numFmtId="167" fontId="1" fillId="0" borderId="20" xfId="2" applyNumberFormat="1" applyFont="1" applyBorder="1" applyAlignment="1">
      <alignment horizontal="right"/>
    </xf>
    <xf numFmtId="0" fontId="1" fillId="8" borderId="19" xfId="0" applyFont="1" applyFill="1" applyBorder="1"/>
    <xf numFmtId="3" fontId="1" fillId="3" borderId="21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8" fillId="0" borderId="5" xfId="3" applyFont="1" applyBorder="1" applyAlignment="1">
      <alignment vertical="center" wrapText="1"/>
    </xf>
    <xf numFmtId="166" fontId="1" fillId="3" borderId="25" xfId="2" applyNumberFormat="1" applyFont="1" applyFill="1" applyBorder="1" applyAlignment="1">
      <alignment horizontal="center"/>
    </xf>
    <xf numFmtId="3" fontId="1" fillId="3" borderId="26" xfId="0" applyNumberFormat="1" applyFont="1" applyFill="1" applyBorder="1" applyAlignment="1">
      <alignment horizontal="center"/>
    </xf>
    <xf numFmtId="167" fontId="1" fillId="3" borderId="26" xfId="2" applyNumberFormat="1" applyFont="1" applyFill="1" applyBorder="1" applyAlignment="1">
      <alignment horizontal="right"/>
    </xf>
    <xf numFmtId="3" fontId="1" fillId="0" borderId="26" xfId="0" applyNumberFormat="1" applyFont="1" applyBorder="1" applyAlignment="1">
      <alignment horizontal="center"/>
    </xf>
    <xf numFmtId="167" fontId="1" fillId="0" borderId="26" xfId="2" applyNumberFormat="1" applyFont="1" applyFill="1" applyBorder="1" applyAlignment="1">
      <alignment horizontal="right"/>
    </xf>
    <xf numFmtId="167" fontId="1" fillId="3" borderId="28" xfId="2" applyNumberFormat="1" applyFont="1" applyFill="1" applyBorder="1" applyAlignment="1">
      <alignment horizontal="right"/>
    </xf>
    <xf numFmtId="164" fontId="1" fillId="0" borderId="12" xfId="0" applyNumberFormat="1" applyFont="1" applyBorder="1" applyAlignment="1">
      <alignment horizontal="center"/>
    </xf>
    <xf numFmtId="0" fontId="1" fillId="0" borderId="29" xfId="0" applyFont="1" applyBorder="1"/>
    <xf numFmtId="166" fontId="1" fillId="0" borderId="12" xfId="2" applyNumberFormat="1" applyFont="1" applyFill="1" applyBorder="1" applyAlignment="1">
      <alignment horizontal="center"/>
    </xf>
    <xf numFmtId="167" fontId="1" fillId="7" borderId="28" xfId="2" applyNumberFormat="1" applyFont="1" applyFill="1" applyBorder="1" applyAlignment="1">
      <alignment horizontal="right"/>
    </xf>
    <xf numFmtId="167" fontId="1" fillId="0" borderId="28" xfId="2" applyNumberFormat="1" applyFont="1" applyFill="1" applyBorder="1" applyAlignment="1">
      <alignment horizontal="right"/>
    </xf>
    <xf numFmtId="0" fontId="15" fillId="0" borderId="12" xfId="0" applyFont="1" applyBorder="1" applyAlignment="1">
      <alignment vertical="center"/>
    </xf>
    <xf numFmtId="166" fontId="1" fillId="0" borderId="12" xfId="2" applyNumberFormat="1" applyFont="1" applyFill="1" applyBorder="1" applyAlignment="1">
      <alignment horizontal="center" vertical="center" wrapText="1"/>
    </xf>
    <xf numFmtId="167" fontId="1" fillId="0" borderId="12" xfId="2" applyNumberFormat="1" applyFont="1" applyFill="1" applyBorder="1" applyAlignment="1">
      <alignment horizontal="center"/>
    </xf>
    <xf numFmtId="167" fontId="1" fillId="0" borderId="12" xfId="2" applyNumberFormat="1" applyFont="1" applyFill="1" applyBorder="1" applyAlignment="1">
      <alignment horizontal="right"/>
    </xf>
    <xf numFmtId="166" fontId="5" fillId="0" borderId="12" xfId="2" applyNumberFormat="1" applyFont="1" applyFill="1" applyBorder="1" applyAlignment="1">
      <alignment horizontal="center" vertical="center"/>
    </xf>
    <xf numFmtId="166" fontId="7" fillId="0" borderId="12" xfId="2" applyNumberFormat="1" applyFont="1" applyFill="1" applyBorder="1" applyAlignment="1">
      <alignment horizontal="right" vertical="center"/>
    </xf>
    <xf numFmtId="0" fontId="1" fillId="0" borderId="7" xfId="0" applyFont="1" applyBorder="1"/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167" fontId="1" fillId="3" borderId="0" xfId="2" applyNumberFormat="1" applyFont="1" applyFill="1" applyBorder="1" applyAlignment="1">
      <alignment horizontal="right"/>
    </xf>
    <xf numFmtId="166" fontId="1" fillId="3" borderId="0" xfId="2" applyNumberFormat="1" applyFont="1" applyFill="1" applyBorder="1" applyAlignment="1">
      <alignment horizontal="center"/>
    </xf>
    <xf numFmtId="3" fontId="1" fillId="3" borderId="0" xfId="0" applyNumberFormat="1" applyFont="1" applyFill="1" applyAlignment="1">
      <alignment horizontal="center"/>
    </xf>
    <xf numFmtId="0" fontId="1" fillId="3" borderId="7" xfId="0" applyFont="1" applyFill="1" applyBorder="1"/>
    <xf numFmtId="0" fontId="1" fillId="0" borderId="5" xfId="0" applyFont="1" applyBorder="1"/>
    <xf numFmtId="0" fontId="1" fillId="0" borderId="0" xfId="0" applyFont="1" applyAlignment="1">
      <alignment horizontal="justify" vertical="center" wrapText="1"/>
    </xf>
    <xf numFmtId="166" fontId="1" fillId="0" borderId="27" xfId="2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167" fontId="1" fillId="0" borderId="27" xfId="2" applyNumberFormat="1" applyFont="1" applyFill="1" applyBorder="1" applyAlignment="1">
      <alignment horizontal="right"/>
    </xf>
    <xf numFmtId="0" fontId="1" fillId="7" borderId="7" xfId="0" applyFont="1" applyFill="1" applyBorder="1"/>
    <xf numFmtId="0" fontId="1" fillId="0" borderId="21" xfId="0" applyFont="1" applyBorder="1"/>
    <xf numFmtId="0" fontId="19" fillId="0" borderId="21" xfId="0" applyFont="1" applyBorder="1" applyAlignment="1">
      <alignment horizontal="center"/>
    </xf>
    <xf numFmtId="166" fontId="1" fillId="0" borderId="21" xfId="0" applyNumberFormat="1" applyFont="1" applyBorder="1" applyAlignment="1">
      <alignment horizontal="center"/>
    </xf>
    <xf numFmtId="167" fontId="1" fillId="0" borderId="21" xfId="0" applyNumberFormat="1" applyFont="1" applyBorder="1" applyAlignment="1">
      <alignment horizontal="right"/>
    </xf>
    <xf numFmtId="166" fontId="1" fillId="0" borderId="12" xfId="0" applyNumberFormat="1" applyFont="1" applyBorder="1" applyAlignment="1">
      <alignment horizontal="center"/>
    </xf>
    <xf numFmtId="167" fontId="1" fillId="9" borderId="20" xfId="0" applyNumberFormat="1" applyFont="1" applyFill="1" applyBorder="1" applyAlignment="1">
      <alignment horizontal="right"/>
    </xf>
    <xf numFmtId="0" fontId="2" fillId="9" borderId="3" xfId="0" applyFont="1" applyFill="1" applyBorder="1" applyAlignment="1">
      <alignment horizontal="center" vertical="center"/>
    </xf>
    <xf numFmtId="167" fontId="1" fillId="9" borderId="3" xfId="0" applyNumberFormat="1" applyFont="1" applyFill="1" applyBorder="1" applyAlignment="1">
      <alignment horizontal="right"/>
    </xf>
    <xf numFmtId="167" fontId="1" fillId="8" borderId="3" xfId="0" applyNumberFormat="1" applyFont="1" applyFill="1" applyBorder="1" applyAlignment="1">
      <alignment horizontal="right"/>
    </xf>
    <xf numFmtId="0" fontId="1" fillId="8" borderId="3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167" fontId="1" fillId="0" borderId="4" xfId="2" applyNumberFormat="1" applyFont="1" applyFill="1" applyBorder="1" applyAlignment="1">
      <alignment horizontal="right"/>
    </xf>
    <xf numFmtId="168" fontId="1" fillId="0" borderId="0" xfId="2" applyNumberFormat="1" applyFont="1" applyFill="1" applyBorder="1" applyAlignment="1">
      <alignment horizontal="right"/>
    </xf>
    <xf numFmtId="166" fontId="1" fillId="0" borderId="0" xfId="0" applyNumberFormat="1" applyFont="1"/>
    <xf numFmtId="168" fontId="7" fillId="0" borderId="4" xfId="2" applyNumberFormat="1" applyFont="1" applyBorder="1" applyAlignment="1">
      <alignment horizontal="right"/>
    </xf>
    <xf numFmtId="167" fontId="7" fillId="0" borderId="4" xfId="2" applyNumberFormat="1" applyFont="1" applyBorder="1" applyAlignment="1">
      <alignment horizontal="right"/>
    </xf>
    <xf numFmtId="168" fontId="7" fillId="0" borderId="24" xfId="2" applyNumberFormat="1" applyFont="1" applyBorder="1" applyAlignment="1">
      <alignment horizontal="right"/>
    </xf>
    <xf numFmtId="166" fontId="5" fillId="2" borderId="4" xfId="2" applyNumberFormat="1" applyFont="1" applyFill="1" applyBorder="1" applyAlignment="1">
      <alignment horizontal="right"/>
    </xf>
    <xf numFmtId="166" fontId="5" fillId="2" borderId="23" xfId="2" applyNumberFormat="1" applyFont="1" applyFill="1" applyBorder="1" applyAlignment="1">
      <alignment horizontal="right"/>
    </xf>
    <xf numFmtId="167" fontId="8" fillId="2" borderId="3" xfId="2" applyNumberFormat="1" applyFont="1" applyFill="1" applyBorder="1" applyAlignment="1">
      <alignment horizontal="right"/>
    </xf>
    <xf numFmtId="166" fontId="7" fillId="0" borderId="3" xfId="2" applyNumberFormat="1" applyFont="1" applyFill="1" applyBorder="1" applyAlignment="1">
      <alignment horizontal="right" vertical="center"/>
    </xf>
    <xf numFmtId="167" fontId="5" fillId="5" borderId="32" xfId="2" applyNumberFormat="1" applyFont="1" applyFill="1" applyBorder="1" applyAlignment="1">
      <alignment horizontal="center" vertical="center"/>
    </xf>
    <xf numFmtId="3" fontId="1" fillId="8" borderId="21" xfId="0" applyNumberFormat="1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/>
    </xf>
    <xf numFmtId="168" fontId="1" fillId="8" borderId="24" xfId="2" applyNumberFormat="1" applyFont="1" applyFill="1" applyBorder="1" applyAlignment="1">
      <alignment horizontal="right"/>
    </xf>
    <xf numFmtId="166" fontId="1" fillId="0" borderId="2" xfId="2" applyNumberFormat="1" applyFont="1" applyFill="1" applyBorder="1" applyAlignment="1">
      <alignment horizontal="center"/>
    </xf>
    <xf numFmtId="0" fontId="1" fillId="0" borderId="3" xfId="2" applyNumberFormat="1" applyFont="1" applyBorder="1" applyAlignment="1">
      <alignment horizontal="center"/>
    </xf>
    <xf numFmtId="0" fontId="0" fillId="8" borderId="2" xfId="0" applyFill="1" applyBorder="1" applyAlignment="1">
      <alignment horizontal="center" vertical="center"/>
    </xf>
    <xf numFmtId="0" fontId="1" fillId="0" borderId="21" xfId="2" applyNumberFormat="1" applyFont="1" applyBorder="1" applyAlignment="1">
      <alignment horizontal="center"/>
    </xf>
    <xf numFmtId="0" fontId="0" fillId="8" borderId="0" xfId="0" applyFill="1" applyAlignment="1">
      <alignment horizontal="center" vertical="center"/>
    </xf>
    <xf numFmtId="0" fontId="1" fillId="0" borderId="21" xfId="2" applyNumberFormat="1" applyFont="1" applyBorder="1" applyAlignment="1">
      <alignment horizontal="center" vertical="center"/>
    </xf>
    <xf numFmtId="0" fontId="1" fillId="0" borderId="24" xfId="2" applyNumberFormat="1" applyFont="1" applyFill="1" applyBorder="1" applyAlignment="1">
      <alignment horizontal="center"/>
    </xf>
    <xf numFmtId="0" fontId="1" fillId="10" borderId="3" xfId="0" applyFont="1" applyFill="1" applyBorder="1" applyAlignment="1">
      <alignment horizontal="center" vertical="center" wrapText="1"/>
    </xf>
    <xf numFmtId="0" fontId="19" fillId="10" borderId="21" xfId="0" applyFont="1" applyFill="1" applyBorder="1" applyAlignment="1">
      <alignment horizontal="center"/>
    </xf>
    <xf numFmtId="166" fontId="1" fillId="10" borderId="21" xfId="0" applyNumberFormat="1" applyFont="1" applyFill="1" applyBorder="1" applyAlignment="1">
      <alignment horizontal="center"/>
    </xf>
    <xf numFmtId="3" fontId="1" fillId="10" borderId="3" xfId="0" applyNumberFormat="1" applyFont="1" applyFill="1" applyBorder="1" applyAlignment="1">
      <alignment horizontal="center"/>
    </xf>
    <xf numFmtId="167" fontId="1" fillId="10" borderId="21" xfId="0" applyNumberFormat="1" applyFont="1" applyFill="1" applyBorder="1" applyAlignment="1">
      <alignment horizontal="right"/>
    </xf>
    <xf numFmtId="0" fontId="2" fillId="10" borderId="21" xfId="0" applyFont="1" applyFill="1" applyBorder="1" applyAlignment="1">
      <alignment horizontal="center" vertical="center"/>
    </xf>
    <xf numFmtId="167" fontId="1" fillId="10" borderId="20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167" fontId="1" fillId="10" borderId="7" xfId="0" applyNumberFormat="1" applyFont="1" applyFill="1" applyBorder="1" applyAlignment="1">
      <alignment horizontal="right"/>
    </xf>
    <xf numFmtId="0" fontId="1" fillId="11" borderId="27" xfId="0" applyFont="1" applyFill="1" applyBorder="1"/>
    <xf numFmtId="0" fontId="19" fillId="0" borderId="27" xfId="0" applyFont="1" applyBorder="1" applyAlignment="1">
      <alignment horizontal="center"/>
    </xf>
    <xf numFmtId="166" fontId="1" fillId="0" borderId="27" xfId="0" applyNumberFormat="1" applyFont="1" applyBorder="1" applyAlignment="1">
      <alignment horizontal="center"/>
    </xf>
    <xf numFmtId="0" fontId="2" fillId="9" borderId="27" xfId="0" applyFont="1" applyFill="1" applyBorder="1" applyAlignment="1">
      <alignment horizontal="center" vertical="center"/>
    </xf>
    <xf numFmtId="167" fontId="1" fillId="9" borderId="7" xfId="0" applyNumberFormat="1" applyFont="1" applyFill="1" applyBorder="1" applyAlignment="1">
      <alignment horizontal="right"/>
    </xf>
    <xf numFmtId="167" fontId="1" fillId="0" borderId="7" xfId="0" applyNumberFormat="1" applyFont="1" applyBorder="1" applyAlignment="1">
      <alignment horizontal="right"/>
    </xf>
    <xf numFmtId="0" fontId="1" fillId="0" borderId="27" xfId="0" applyFont="1" applyBorder="1" applyAlignment="1">
      <alignment horizontal="center" vertical="center"/>
    </xf>
    <xf numFmtId="3" fontId="1" fillId="3" borderId="5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/>
    </xf>
    <xf numFmtId="0" fontId="2" fillId="10" borderId="3" xfId="0" applyFont="1" applyFill="1" applyBorder="1" applyAlignment="1">
      <alignment horizontal="center" vertical="center"/>
    </xf>
    <xf numFmtId="167" fontId="1" fillId="10" borderId="3" xfId="0" applyNumberFormat="1" applyFont="1" applyFill="1" applyBorder="1" applyAlignment="1">
      <alignment horizontal="right"/>
    </xf>
    <xf numFmtId="167" fontId="5" fillId="7" borderId="3" xfId="2" applyNumberFormat="1" applyFont="1" applyFill="1" applyBorder="1" applyAlignment="1">
      <alignment horizontal="center" vertical="center"/>
    </xf>
    <xf numFmtId="167" fontId="5" fillId="7" borderId="3" xfId="2" applyNumberFormat="1" applyFont="1" applyFill="1" applyBorder="1" applyAlignment="1">
      <alignment horizontal="right"/>
    </xf>
    <xf numFmtId="167" fontId="1" fillId="8" borderId="1" xfId="2" applyNumberFormat="1" applyFont="1" applyFill="1" applyBorder="1" applyAlignment="1">
      <alignment horizontal="right"/>
    </xf>
    <xf numFmtId="0" fontId="1" fillId="8" borderId="1" xfId="0" applyFont="1" applyFill="1" applyBorder="1" applyAlignment="1">
      <alignment horizontal="center"/>
    </xf>
    <xf numFmtId="167" fontId="1" fillId="8" borderId="2" xfId="2" applyNumberFormat="1" applyFont="1" applyFill="1" applyBorder="1" applyAlignment="1">
      <alignment horizontal="right"/>
    </xf>
    <xf numFmtId="0" fontId="1" fillId="8" borderId="24" xfId="0" applyFont="1" applyFill="1" applyBorder="1" applyAlignment="1">
      <alignment horizontal="center"/>
    </xf>
    <xf numFmtId="167" fontId="5" fillId="7" borderId="5" xfId="2" applyNumberFormat="1" applyFont="1" applyFill="1" applyBorder="1" applyAlignment="1">
      <alignment horizontal="center" vertical="center"/>
    </xf>
    <xf numFmtId="167" fontId="5" fillId="7" borderId="5" xfId="2" applyNumberFormat="1" applyFont="1" applyFill="1" applyBorder="1" applyAlignment="1">
      <alignment horizontal="right"/>
    </xf>
    <xf numFmtId="167" fontId="5" fillId="10" borderId="3" xfId="0" applyNumberFormat="1" applyFont="1" applyFill="1" applyBorder="1" applyAlignment="1">
      <alignment horizontal="center" vertical="center"/>
    </xf>
    <xf numFmtId="167" fontId="5" fillId="10" borderId="21" xfId="0" applyNumberFormat="1" applyFont="1" applyFill="1" applyBorder="1" applyAlignment="1">
      <alignment horizontal="right"/>
    </xf>
    <xf numFmtId="0" fontId="2" fillId="7" borderId="3" xfId="0" applyFont="1" applyFill="1" applyBorder="1"/>
    <xf numFmtId="0" fontId="20" fillId="7" borderId="3" xfId="0" applyFont="1" applyFill="1" applyBorder="1"/>
    <xf numFmtId="0" fontId="2" fillId="10" borderId="21" xfId="0" applyFont="1" applyFill="1" applyBorder="1"/>
    <xf numFmtId="0" fontId="1" fillId="0" borderId="27" xfId="0" applyFont="1" applyBorder="1" applyAlignment="1">
      <alignment horizontal="justify" vertical="center" wrapText="1"/>
    </xf>
    <xf numFmtId="3" fontId="1" fillId="9" borderId="21" xfId="0" applyNumberFormat="1" applyFont="1" applyFill="1" applyBorder="1" applyAlignment="1">
      <alignment horizontal="center"/>
    </xf>
    <xf numFmtId="167" fontId="1" fillId="9" borderId="21" xfId="0" applyNumberFormat="1" applyFont="1" applyFill="1" applyBorder="1" applyAlignment="1">
      <alignment horizontal="right"/>
    </xf>
    <xf numFmtId="169" fontId="1" fillId="9" borderId="27" xfId="0" applyNumberFormat="1" applyFont="1" applyFill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9" fontId="1" fillId="9" borderId="21" xfId="0" applyNumberFormat="1" applyFont="1" applyFill="1" applyBorder="1" applyAlignment="1">
      <alignment horizontal="center"/>
    </xf>
    <xf numFmtId="0" fontId="1" fillId="8" borderId="21" xfId="2" applyNumberFormat="1" applyFont="1" applyFill="1" applyBorder="1" applyAlignment="1">
      <alignment horizontal="center"/>
    </xf>
    <xf numFmtId="0" fontId="1" fillId="8" borderId="3" xfId="2" applyNumberFormat="1" applyFont="1" applyFill="1" applyBorder="1" applyAlignment="1">
      <alignment horizontal="center"/>
    </xf>
    <xf numFmtId="0" fontId="1" fillId="8" borderId="21" xfId="2" applyNumberFormat="1" applyFont="1" applyFill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/>
    </xf>
    <xf numFmtId="167" fontId="1" fillId="0" borderId="3" xfId="0" applyNumberFormat="1" applyFont="1" applyBorder="1" applyAlignment="1">
      <alignment horizontal="right"/>
    </xf>
    <xf numFmtId="0" fontId="1" fillId="0" borderId="3" xfId="2" applyNumberFormat="1" applyFont="1" applyFill="1" applyBorder="1" applyAlignment="1">
      <alignment horizontal="center"/>
    </xf>
    <xf numFmtId="167" fontId="1" fillId="8" borderId="20" xfId="0" applyNumberFormat="1" applyFont="1" applyFill="1" applyBorder="1" applyAlignment="1">
      <alignment horizontal="right"/>
    </xf>
    <xf numFmtId="167" fontId="18" fillId="8" borderId="25" xfId="2" applyNumberFormat="1" applyFont="1" applyFill="1" applyBorder="1" applyAlignment="1">
      <alignment horizontal="right"/>
    </xf>
    <xf numFmtId="3" fontId="1" fillId="8" borderId="5" xfId="0" applyNumberFormat="1" applyFont="1" applyFill="1" applyBorder="1" applyAlignment="1">
      <alignment horizontal="center"/>
    </xf>
    <xf numFmtId="3" fontId="0" fillId="8" borderId="24" xfId="0" applyNumberFormat="1" applyFill="1" applyBorder="1" applyAlignment="1">
      <alignment horizontal="center" vertical="center"/>
    </xf>
    <xf numFmtId="167" fontId="1" fillId="8" borderId="28" xfId="2" applyNumberFormat="1" applyFont="1" applyFill="1" applyBorder="1" applyAlignment="1">
      <alignment horizontal="right"/>
    </xf>
    <xf numFmtId="3" fontId="1" fillId="0" borderId="24" xfId="0" applyNumberFormat="1" applyFont="1" applyBorder="1" applyAlignment="1">
      <alignment horizontal="center" vertical="center"/>
    </xf>
    <xf numFmtId="167" fontId="1" fillId="0" borderId="25" xfId="0" applyNumberFormat="1" applyFont="1" applyBorder="1" applyAlignment="1">
      <alignment horizontal="right" vertical="center" wrapText="1"/>
    </xf>
    <xf numFmtId="3" fontId="1" fillId="8" borderId="27" xfId="0" applyNumberFormat="1" applyFont="1" applyFill="1" applyBorder="1" applyAlignment="1">
      <alignment horizontal="center"/>
    </xf>
    <xf numFmtId="167" fontId="1" fillId="8" borderId="20" xfId="2" applyNumberFormat="1" applyFont="1" applyFill="1" applyBorder="1" applyAlignment="1">
      <alignment horizontal="right"/>
    </xf>
    <xf numFmtId="164" fontId="1" fillId="0" borderId="25" xfId="0" applyNumberFormat="1" applyFont="1" applyBorder="1" applyAlignment="1">
      <alignment horizontal="center"/>
    </xf>
    <xf numFmtId="3" fontId="1" fillId="3" borderId="24" xfId="0" applyNumberFormat="1" applyFont="1" applyFill="1" applyBorder="1" applyAlignment="1">
      <alignment horizontal="center" vertical="center"/>
    </xf>
    <xf numFmtId="3" fontId="1" fillId="0" borderId="21" xfId="0" applyNumberFormat="1" applyFont="1" applyBorder="1" applyAlignment="1">
      <alignment horizontal="center" vertical="center"/>
    </xf>
    <xf numFmtId="3" fontId="1" fillId="10" borderId="24" xfId="0" applyNumberFormat="1" applyFont="1" applyFill="1" applyBorder="1" applyAlignment="1">
      <alignment horizontal="center"/>
    </xf>
    <xf numFmtId="167" fontId="5" fillId="10" borderId="28" xfId="0" applyNumberFormat="1" applyFont="1" applyFill="1" applyBorder="1" applyAlignment="1">
      <alignment horizontal="right"/>
    </xf>
    <xf numFmtId="167" fontId="5" fillId="10" borderId="5" xfId="0" applyNumberFormat="1" applyFont="1" applyFill="1" applyBorder="1" applyAlignment="1">
      <alignment horizontal="right"/>
    </xf>
    <xf numFmtId="167" fontId="1" fillId="10" borderId="5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166" fontId="1" fillId="3" borderId="27" xfId="2" applyNumberFormat="1" applyFont="1" applyFill="1" applyBorder="1" applyAlignment="1">
      <alignment horizontal="center"/>
    </xf>
    <xf numFmtId="167" fontId="1" fillId="10" borderId="30" xfId="0" applyNumberFormat="1" applyFont="1" applyFill="1" applyBorder="1" applyAlignment="1">
      <alignment horizontal="right"/>
    </xf>
    <xf numFmtId="0" fontId="22" fillId="0" borderId="0" xfId="0" applyFont="1"/>
    <xf numFmtId="171" fontId="0" fillId="0" borderId="0" xfId="4" applyNumberFormat="1" applyFont="1" applyFill="1" applyBorder="1"/>
    <xf numFmtId="172" fontId="0" fillId="0" borderId="0" xfId="4" applyNumberFormat="1" applyFont="1" applyFill="1" applyBorder="1"/>
    <xf numFmtId="166" fontId="7" fillId="0" borderId="3" xfId="2" applyNumberFormat="1" applyFont="1" applyBorder="1" applyAlignment="1">
      <alignment horizontal="right" vertical="center"/>
    </xf>
    <xf numFmtId="166" fontId="7" fillId="2" borderId="3" xfId="2" applyNumberFormat="1" applyFont="1" applyFill="1" applyBorder="1" applyAlignment="1">
      <alignment horizontal="right" vertical="center"/>
    </xf>
    <xf numFmtId="0" fontId="5" fillId="5" borderId="3" xfId="0" applyFont="1" applyFill="1" applyBorder="1" applyAlignment="1">
      <alignment horizontal="left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19" xfId="0" applyFont="1" applyFill="1" applyBorder="1" applyAlignment="1">
      <alignment horizontal="center" vertical="center"/>
    </xf>
    <xf numFmtId="0" fontId="5" fillId="7" borderId="20" xfId="0" applyFont="1" applyFill="1" applyBorder="1" applyAlignment="1">
      <alignment horizontal="center" vertical="center"/>
    </xf>
    <xf numFmtId="0" fontId="5" fillId="7" borderId="21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5" fillId="10" borderId="30" xfId="0" applyFont="1" applyFill="1" applyBorder="1" applyAlignment="1">
      <alignment horizontal="center" vertical="center"/>
    </xf>
    <xf numFmtId="0" fontId="5" fillId="10" borderId="31" xfId="0" applyFont="1" applyFill="1" applyBorder="1" applyAlignment="1">
      <alignment horizontal="center" vertical="center"/>
    </xf>
    <xf numFmtId="0" fontId="5" fillId="10" borderId="29" xfId="0" applyFont="1" applyFill="1" applyBorder="1" applyAlignment="1">
      <alignment horizontal="center" vertical="center"/>
    </xf>
    <xf numFmtId="0" fontId="5" fillId="10" borderId="25" xfId="0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center" vertical="center"/>
    </xf>
    <xf numFmtId="0" fontId="5" fillId="10" borderId="27" xfId="0" applyFont="1" applyFill="1" applyBorder="1" applyAlignment="1">
      <alignment horizontal="center" vertical="center"/>
    </xf>
    <xf numFmtId="168" fontId="3" fillId="0" borderId="0" xfId="2" applyNumberFormat="1" applyFont="1" applyBorder="1" applyAlignment="1">
      <alignment horizontal="center" vertical="center" wrapText="1"/>
    </xf>
    <xf numFmtId="168" fontId="3" fillId="0" borderId="0" xfId="2" applyNumberFormat="1" applyFont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30" xfId="0" applyFont="1" applyFill="1" applyBorder="1" applyAlignment="1">
      <alignment horizontal="center" vertical="center"/>
    </xf>
    <xf numFmtId="0" fontId="5" fillId="7" borderId="31" xfId="0" applyFont="1" applyFill="1" applyBorder="1" applyAlignment="1">
      <alignment horizontal="center" vertical="center"/>
    </xf>
    <xf numFmtId="0" fontId="5" fillId="7" borderId="29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 wrapText="1"/>
    </xf>
  </cellXfs>
  <cellStyles count="5">
    <cellStyle name="Euro" xfId="1" xr:uid="{00000000-0005-0000-0000-000000000000}"/>
    <cellStyle name="Milliers" xfId="4" builtinId="3"/>
    <cellStyle name="Monétaire" xfId="2" builtinId="4"/>
    <cellStyle name="Normal" xfId="0" builtinId="0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5</xdr:row>
      <xdr:rowOff>0</xdr:rowOff>
    </xdr:from>
    <xdr:to>
      <xdr:col>11</xdr:col>
      <xdr:colOff>241300</xdr:colOff>
      <xdr:row>6</xdr:row>
      <xdr:rowOff>139700</xdr:rowOff>
    </xdr:to>
    <xdr:sp macro="" textlink="">
      <xdr:nvSpPr>
        <xdr:cNvPr id="33841" name="Text Box 1">
          <a:extLst>
            <a:ext uri="{FF2B5EF4-FFF2-40B4-BE49-F238E27FC236}">
              <a16:creationId xmlns:a16="http://schemas.microsoft.com/office/drawing/2014/main" id="{EE52C908-8B1F-324E-DD01-351680EFAE72}"/>
            </a:ext>
          </a:extLst>
        </xdr:cNvPr>
        <xdr:cNvSpPr txBox="1">
          <a:spLocks noChangeArrowheads="1"/>
        </xdr:cNvSpPr>
      </xdr:nvSpPr>
      <xdr:spPr bwMode="auto">
        <a:xfrm>
          <a:off x="11861800" y="914400"/>
          <a:ext cx="2413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241300</xdr:colOff>
      <xdr:row>6</xdr:row>
      <xdr:rowOff>139700</xdr:rowOff>
    </xdr:to>
    <xdr:sp macro="" textlink="">
      <xdr:nvSpPr>
        <xdr:cNvPr id="33842" name="Text Box 2">
          <a:extLst>
            <a:ext uri="{FF2B5EF4-FFF2-40B4-BE49-F238E27FC236}">
              <a16:creationId xmlns:a16="http://schemas.microsoft.com/office/drawing/2014/main" id="{2B94C930-B4E5-5204-7B04-2EB87AD2887F}"/>
            </a:ext>
          </a:extLst>
        </xdr:cNvPr>
        <xdr:cNvSpPr txBox="1">
          <a:spLocks noChangeArrowheads="1"/>
        </xdr:cNvSpPr>
      </xdr:nvSpPr>
      <xdr:spPr bwMode="auto">
        <a:xfrm>
          <a:off x="11861800" y="914400"/>
          <a:ext cx="2413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241300</xdr:colOff>
      <xdr:row>6</xdr:row>
      <xdr:rowOff>139700</xdr:rowOff>
    </xdr:to>
    <xdr:sp macro="" textlink="">
      <xdr:nvSpPr>
        <xdr:cNvPr id="33843" name="Text Box 3">
          <a:extLst>
            <a:ext uri="{FF2B5EF4-FFF2-40B4-BE49-F238E27FC236}">
              <a16:creationId xmlns:a16="http://schemas.microsoft.com/office/drawing/2014/main" id="{77272D05-9A76-EE0C-FEA3-D4685FA445C8}"/>
            </a:ext>
          </a:extLst>
        </xdr:cNvPr>
        <xdr:cNvSpPr txBox="1">
          <a:spLocks noChangeArrowheads="1"/>
        </xdr:cNvSpPr>
      </xdr:nvSpPr>
      <xdr:spPr bwMode="auto">
        <a:xfrm>
          <a:off x="11861800" y="914400"/>
          <a:ext cx="2413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241300</xdr:colOff>
      <xdr:row>6</xdr:row>
      <xdr:rowOff>139700</xdr:rowOff>
    </xdr:to>
    <xdr:sp macro="" textlink="">
      <xdr:nvSpPr>
        <xdr:cNvPr id="33844" name="Text Box 4">
          <a:extLst>
            <a:ext uri="{FF2B5EF4-FFF2-40B4-BE49-F238E27FC236}">
              <a16:creationId xmlns:a16="http://schemas.microsoft.com/office/drawing/2014/main" id="{D275AF1C-5A5C-FAA8-03A4-BBCC44037074}"/>
            </a:ext>
          </a:extLst>
        </xdr:cNvPr>
        <xdr:cNvSpPr txBox="1">
          <a:spLocks noChangeArrowheads="1"/>
        </xdr:cNvSpPr>
      </xdr:nvSpPr>
      <xdr:spPr bwMode="auto">
        <a:xfrm>
          <a:off x="11861800" y="914400"/>
          <a:ext cx="2413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241300</xdr:colOff>
      <xdr:row>6</xdr:row>
      <xdr:rowOff>139700</xdr:rowOff>
    </xdr:to>
    <xdr:sp macro="" textlink="">
      <xdr:nvSpPr>
        <xdr:cNvPr id="33845" name="Text Box 1">
          <a:extLst>
            <a:ext uri="{FF2B5EF4-FFF2-40B4-BE49-F238E27FC236}">
              <a16:creationId xmlns:a16="http://schemas.microsoft.com/office/drawing/2014/main" id="{2AB14788-E4AA-8C33-99E3-58B98C21E314}"/>
            </a:ext>
          </a:extLst>
        </xdr:cNvPr>
        <xdr:cNvSpPr txBox="1">
          <a:spLocks noChangeArrowheads="1"/>
        </xdr:cNvSpPr>
      </xdr:nvSpPr>
      <xdr:spPr bwMode="auto">
        <a:xfrm>
          <a:off x="11861800" y="914400"/>
          <a:ext cx="2413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241300</xdr:colOff>
      <xdr:row>6</xdr:row>
      <xdr:rowOff>139700</xdr:rowOff>
    </xdr:to>
    <xdr:sp macro="" textlink="">
      <xdr:nvSpPr>
        <xdr:cNvPr id="33846" name="Text Box 2">
          <a:extLst>
            <a:ext uri="{FF2B5EF4-FFF2-40B4-BE49-F238E27FC236}">
              <a16:creationId xmlns:a16="http://schemas.microsoft.com/office/drawing/2014/main" id="{8DF2E3CC-23EA-622C-80AE-35AA3AAB5E3F}"/>
            </a:ext>
          </a:extLst>
        </xdr:cNvPr>
        <xdr:cNvSpPr txBox="1">
          <a:spLocks noChangeArrowheads="1"/>
        </xdr:cNvSpPr>
      </xdr:nvSpPr>
      <xdr:spPr bwMode="auto">
        <a:xfrm>
          <a:off x="11861800" y="914400"/>
          <a:ext cx="2413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241300</xdr:colOff>
      <xdr:row>6</xdr:row>
      <xdr:rowOff>139700</xdr:rowOff>
    </xdr:to>
    <xdr:sp macro="" textlink="">
      <xdr:nvSpPr>
        <xdr:cNvPr id="33847" name="Text Box 3">
          <a:extLst>
            <a:ext uri="{FF2B5EF4-FFF2-40B4-BE49-F238E27FC236}">
              <a16:creationId xmlns:a16="http://schemas.microsoft.com/office/drawing/2014/main" id="{5CBAE713-3B74-7B58-1125-9E04B93E9C8C}"/>
            </a:ext>
          </a:extLst>
        </xdr:cNvPr>
        <xdr:cNvSpPr txBox="1">
          <a:spLocks noChangeArrowheads="1"/>
        </xdr:cNvSpPr>
      </xdr:nvSpPr>
      <xdr:spPr bwMode="auto">
        <a:xfrm>
          <a:off x="11861800" y="914400"/>
          <a:ext cx="2413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88900</xdr:colOff>
      <xdr:row>15</xdr:row>
      <xdr:rowOff>0</xdr:rowOff>
    </xdr:from>
    <xdr:to>
      <xdr:col>11</xdr:col>
      <xdr:colOff>25401</xdr:colOff>
      <xdr:row>16</xdr:row>
      <xdr:rowOff>68774</xdr:rowOff>
    </xdr:to>
    <xdr:sp macro="" textlink="">
      <xdr:nvSpPr>
        <xdr:cNvPr id="33848" name="Text Box 4">
          <a:extLst>
            <a:ext uri="{FF2B5EF4-FFF2-40B4-BE49-F238E27FC236}">
              <a16:creationId xmlns:a16="http://schemas.microsoft.com/office/drawing/2014/main" id="{8B64E3D2-C797-F44E-EC95-2AB523B79783}"/>
            </a:ext>
          </a:extLst>
        </xdr:cNvPr>
        <xdr:cNvSpPr txBox="1">
          <a:spLocks noChangeArrowheads="1"/>
        </xdr:cNvSpPr>
      </xdr:nvSpPr>
      <xdr:spPr bwMode="auto">
        <a:xfrm>
          <a:off x="11836400" y="2921000"/>
          <a:ext cx="50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F57A91C1-7179-9AF7-0EAF-EDB86B77EEF8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5</xdr:row>
      <xdr:rowOff>0</xdr:rowOff>
    </xdr:from>
    <xdr:ext cx="451343" cy="299419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D73D1FD-0164-5952-9AAB-4F66A503DEF5}"/>
            </a:ext>
          </a:extLst>
        </xdr:cNvPr>
        <xdr:cNvSpPr txBox="1"/>
      </xdr:nvSpPr>
      <xdr:spPr>
        <a:xfrm>
          <a:off x="1905" y="9009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483E32FE-AF65-FA51-6C71-8AF41E53D866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49CFECE3-C06A-ED75-6E42-429CB6332021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10E23078-1AF9-E5BF-4251-2655CCE89823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40E9A959-1348-03EA-C151-9C63842D4164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C31A4012-C7E6-823C-E274-1B77DC3088C6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490E7513-B396-3171-8DA5-A469595A2EBD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18" name="ZoneTexte 17">
          <a:extLst>
            <a:ext uri="{FF2B5EF4-FFF2-40B4-BE49-F238E27FC236}">
              <a16:creationId xmlns:a16="http://schemas.microsoft.com/office/drawing/2014/main" id="{5BC56668-36DB-5BDD-63D1-C5ADFE658FCC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19" name="ZoneTexte 18">
          <a:extLst>
            <a:ext uri="{FF2B5EF4-FFF2-40B4-BE49-F238E27FC236}">
              <a16:creationId xmlns:a16="http://schemas.microsoft.com/office/drawing/2014/main" id="{D282BF7E-3788-F691-5094-BF1C2AF8202E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20" name="ZoneTexte 19">
          <a:extLst>
            <a:ext uri="{FF2B5EF4-FFF2-40B4-BE49-F238E27FC236}">
              <a16:creationId xmlns:a16="http://schemas.microsoft.com/office/drawing/2014/main" id="{225625C1-FC21-A2EF-3F41-B2D8BF426409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21" name="ZoneTexte 20">
          <a:extLst>
            <a:ext uri="{FF2B5EF4-FFF2-40B4-BE49-F238E27FC236}">
              <a16:creationId xmlns:a16="http://schemas.microsoft.com/office/drawing/2014/main" id="{C7DBD1D1-D4BF-4364-73A5-064C463C8C39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id="{7F3FFBCC-C4C0-92AD-E9B3-0F9A05CC0F92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23" name="ZoneTexte 22">
          <a:extLst>
            <a:ext uri="{FF2B5EF4-FFF2-40B4-BE49-F238E27FC236}">
              <a16:creationId xmlns:a16="http://schemas.microsoft.com/office/drawing/2014/main" id="{8D4CF4FE-97EE-B941-2D15-14018A413510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24" name="ZoneTexte 23">
          <a:extLst>
            <a:ext uri="{FF2B5EF4-FFF2-40B4-BE49-F238E27FC236}">
              <a16:creationId xmlns:a16="http://schemas.microsoft.com/office/drawing/2014/main" id="{D16B9E0D-0A1C-8944-3990-59A1793EABA0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25" name="ZoneTexte 24">
          <a:extLst>
            <a:ext uri="{FF2B5EF4-FFF2-40B4-BE49-F238E27FC236}">
              <a16:creationId xmlns:a16="http://schemas.microsoft.com/office/drawing/2014/main" id="{3A4F4874-4D10-B5AB-0680-5C97D8C55372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A84C96FF-4DA8-1F4E-CF02-7F44B8A4B453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27" name="ZoneTexte 26">
          <a:extLst>
            <a:ext uri="{FF2B5EF4-FFF2-40B4-BE49-F238E27FC236}">
              <a16:creationId xmlns:a16="http://schemas.microsoft.com/office/drawing/2014/main" id="{CEDD93CB-BEB1-CE23-25B1-44094BD786C4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5715</xdr:colOff>
      <xdr:row>214</xdr:row>
      <xdr:rowOff>0</xdr:rowOff>
    </xdr:from>
    <xdr:ext cx="451343" cy="299761"/>
    <xdr:sp macro="" textlink="">
      <xdr:nvSpPr>
        <xdr:cNvPr id="28" name="ZoneTexte 27">
          <a:extLst>
            <a:ext uri="{FF2B5EF4-FFF2-40B4-BE49-F238E27FC236}">
              <a16:creationId xmlns:a16="http://schemas.microsoft.com/office/drawing/2014/main" id="{661704D4-A4A8-EB75-7864-3047F046121C}"/>
            </a:ext>
          </a:extLst>
        </xdr:cNvPr>
        <xdr:cNvSpPr txBox="1"/>
      </xdr:nvSpPr>
      <xdr:spPr>
        <a:xfrm>
          <a:off x="1905" y="245946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twoCellAnchor editAs="oneCell">
    <xdr:from>
      <xdr:col>13</xdr:col>
      <xdr:colOff>88900</xdr:colOff>
      <xdr:row>15</xdr:row>
      <xdr:rowOff>0</xdr:rowOff>
    </xdr:from>
    <xdr:to>
      <xdr:col>14</xdr:col>
      <xdr:colOff>5044</xdr:colOff>
      <xdr:row>16</xdr:row>
      <xdr:rowOff>68774</xdr:rowOff>
    </xdr:to>
    <xdr:sp macro="" textlink="">
      <xdr:nvSpPr>
        <xdr:cNvPr id="33868" name="Text Box 4">
          <a:extLst>
            <a:ext uri="{FF2B5EF4-FFF2-40B4-BE49-F238E27FC236}">
              <a16:creationId xmlns:a16="http://schemas.microsoft.com/office/drawing/2014/main" id="{23558309-987F-BC37-8F11-2E9EAB955D12}"/>
            </a:ext>
          </a:extLst>
        </xdr:cNvPr>
        <xdr:cNvSpPr txBox="1">
          <a:spLocks noChangeArrowheads="1"/>
        </xdr:cNvSpPr>
      </xdr:nvSpPr>
      <xdr:spPr bwMode="auto">
        <a:xfrm>
          <a:off x="14224000" y="2921000"/>
          <a:ext cx="254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88900</xdr:colOff>
      <xdr:row>15</xdr:row>
      <xdr:rowOff>0</xdr:rowOff>
    </xdr:from>
    <xdr:to>
      <xdr:col>17</xdr:col>
      <xdr:colOff>8479</xdr:colOff>
      <xdr:row>16</xdr:row>
      <xdr:rowOff>68774</xdr:rowOff>
    </xdr:to>
    <xdr:sp macro="" textlink="">
      <xdr:nvSpPr>
        <xdr:cNvPr id="33869" name="Text Box 4">
          <a:extLst>
            <a:ext uri="{FF2B5EF4-FFF2-40B4-BE49-F238E27FC236}">
              <a16:creationId xmlns:a16="http://schemas.microsoft.com/office/drawing/2014/main" id="{3BBA6F4E-E2CC-6993-C78F-51B0511DCC86}"/>
            </a:ext>
          </a:extLst>
        </xdr:cNvPr>
        <xdr:cNvSpPr txBox="1">
          <a:spLocks noChangeArrowheads="1"/>
        </xdr:cNvSpPr>
      </xdr:nvSpPr>
      <xdr:spPr bwMode="auto">
        <a:xfrm>
          <a:off x="16611600" y="2921000"/>
          <a:ext cx="254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56336</xdr:colOff>
      <xdr:row>13</xdr:row>
      <xdr:rowOff>141111</xdr:rowOff>
    </xdr:from>
    <xdr:to>
      <xdr:col>7</xdr:col>
      <xdr:colOff>86838</xdr:colOff>
      <xdr:row>15</xdr:row>
      <xdr:rowOff>30936</xdr:rowOff>
    </xdr:to>
    <xdr:sp macro="" textlink="">
      <xdr:nvSpPr>
        <xdr:cNvPr id="33870" name="Text Box 4">
          <a:extLst>
            <a:ext uri="{FF2B5EF4-FFF2-40B4-BE49-F238E27FC236}">
              <a16:creationId xmlns:a16="http://schemas.microsoft.com/office/drawing/2014/main" id="{8A311B86-47D5-05A9-508A-F1BBD2CC1742}"/>
            </a:ext>
          </a:extLst>
        </xdr:cNvPr>
        <xdr:cNvSpPr txBox="1">
          <a:spLocks noChangeArrowheads="1"/>
        </xdr:cNvSpPr>
      </xdr:nvSpPr>
      <xdr:spPr bwMode="auto">
        <a:xfrm>
          <a:off x="9423943" y="2681111"/>
          <a:ext cx="30502" cy="2805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19</xdr:col>
      <xdr:colOff>88900</xdr:colOff>
      <xdr:row>15</xdr:row>
      <xdr:rowOff>0</xdr:rowOff>
    </xdr:from>
    <xdr:to>
      <xdr:col>20</xdr:col>
      <xdr:colOff>93603</xdr:colOff>
      <xdr:row>16</xdr:row>
      <xdr:rowOff>68774</xdr:rowOff>
    </xdr:to>
    <xdr:sp macro="" textlink="">
      <xdr:nvSpPr>
        <xdr:cNvPr id="33871" name="Text Box 4">
          <a:extLst>
            <a:ext uri="{FF2B5EF4-FFF2-40B4-BE49-F238E27FC236}">
              <a16:creationId xmlns:a16="http://schemas.microsoft.com/office/drawing/2014/main" id="{115FBFD0-5DE4-419A-FD76-7085245DE80A}"/>
            </a:ext>
          </a:extLst>
        </xdr:cNvPr>
        <xdr:cNvSpPr txBox="1">
          <a:spLocks noChangeArrowheads="1"/>
        </xdr:cNvSpPr>
      </xdr:nvSpPr>
      <xdr:spPr bwMode="auto">
        <a:xfrm>
          <a:off x="18986500" y="2921000"/>
          <a:ext cx="1397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0</xdr:colOff>
      <xdr:row>15</xdr:row>
      <xdr:rowOff>0</xdr:rowOff>
    </xdr:from>
    <xdr:to>
      <xdr:col>23</xdr:col>
      <xdr:colOff>1883</xdr:colOff>
      <xdr:row>16</xdr:row>
      <xdr:rowOff>68774</xdr:rowOff>
    </xdr:to>
    <xdr:sp macro="" textlink="">
      <xdr:nvSpPr>
        <xdr:cNvPr id="33872" name="Text Box 4">
          <a:extLst>
            <a:ext uri="{FF2B5EF4-FFF2-40B4-BE49-F238E27FC236}">
              <a16:creationId xmlns:a16="http://schemas.microsoft.com/office/drawing/2014/main" id="{AA24EBBE-1F9E-A6AC-E320-A728737E7D67}"/>
            </a:ext>
          </a:extLst>
        </xdr:cNvPr>
        <xdr:cNvSpPr txBox="1">
          <a:spLocks noChangeArrowheads="1"/>
        </xdr:cNvSpPr>
      </xdr:nvSpPr>
      <xdr:spPr bwMode="auto">
        <a:xfrm>
          <a:off x="20955000" y="2921000"/>
          <a:ext cx="1143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76200</xdr:colOff>
      <xdr:row>15</xdr:row>
      <xdr:rowOff>0</xdr:rowOff>
    </xdr:from>
    <xdr:to>
      <xdr:col>23</xdr:col>
      <xdr:colOff>14583</xdr:colOff>
      <xdr:row>16</xdr:row>
      <xdr:rowOff>68774</xdr:rowOff>
    </xdr:to>
    <xdr:sp macro="" textlink="">
      <xdr:nvSpPr>
        <xdr:cNvPr id="33873" name="Text Box 4">
          <a:extLst>
            <a:ext uri="{FF2B5EF4-FFF2-40B4-BE49-F238E27FC236}">
              <a16:creationId xmlns:a16="http://schemas.microsoft.com/office/drawing/2014/main" id="{3C12E88D-DE4B-8900-E4BB-0633321D4657}"/>
            </a:ext>
          </a:extLst>
        </xdr:cNvPr>
        <xdr:cNvSpPr txBox="1">
          <a:spLocks noChangeArrowheads="1"/>
        </xdr:cNvSpPr>
      </xdr:nvSpPr>
      <xdr:spPr bwMode="auto">
        <a:xfrm>
          <a:off x="21031200" y="2921000"/>
          <a:ext cx="50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25</xdr:col>
      <xdr:colOff>0</xdr:colOff>
      <xdr:row>15</xdr:row>
      <xdr:rowOff>0</xdr:rowOff>
    </xdr:from>
    <xdr:to>
      <xdr:col>25</xdr:col>
      <xdr:colOff>95160</xdr:colOff>
      <xdr:row>16</xdr:row>
      <xdr:rowOff>68774</xdr:rowOff>
    </xdr:to>
    <xdr:sp macro="" textlink="">
      <xdr:nvSpPr>
        <xdr:cNvPr id="33875" name="Text Box 4">
          <a:extLst>
            <a:ext uri="{FF2B5EF4-FFF2-40B4-BE49-F238E27FC236}">
              <a16:creationId xmlns:a16="http://schemas.microsoft.com/office/drawing/2014/main" id="{7304845F-712E-E399-42B5-D829C27CF85D}"/>
            </a:ext>
          </a:extLst>
        </xdr:cNvPr>
        <xdr:cNvSpPr txBox="1">
          <a:spLocks noChangeArrowheads="1"/>
        </xdr:cNvSpPr>
      </xdr:nvSpPr>
      <xdr:spPr bwMode="auto">
        <a:xfrm>
          <a:off x="22999700" y="2921000"/>
          <a:ext cx="889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25</xdr:col>
      <xdr:colOff>0</xdr:colOff>
      <xdr:row>15</xdr:row>
      <xdr:rowOff>0</xdr:rowOff>
    </xdr:from>
    <xdr:to>
      <xdr:col>25</xdr:col>
      <xdr:colOff>95160</xdr:colOff>
      <xdr:row>16</xdr:row>
      <xdr:rowOff>68774</xdr:rowOff>
    </xdr:to>
    <xdr:sp macro="" textlink="">
      <xdr:nvSpPr>
        <xdr:cNvPr id="33876" name="Text Box 4">
          <a:extLst>
            <a:ext uri="{FF2B5EF4-FFF2-40B4-BE49-F238E27FC236}">
              <a16:creationId xmlns:a16="http://schemas.microsoft.com/office/drawing/2014/main" id="{09795CCF-7320-7797-F7C5-390C5557CDC6}"/>
            </a:ext>
          </a:extLst>
        </xdr:cNvPr>
        <xdr:cNvSpPr txBox="1">
          <a:spLocks noChangeArrowheads="1"/>
        </xdr:cNvSpPr>
      </xdr:nvSpPr>
      <xdr:spPr bwMode="auto">
        <a:xfrm>
          <a:off x="22999700" y="2921000"/>
          <a:ext cx="889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29</xdr:col>
      <xdr:colOff>0</xdr:colOff>
      <xdr:row>15</xdr:row>
      <xdr:rowOff>0</xdr:rowOff>
    </xdr:from>
    <xdr:to>
      <xdr:col>29</xdr:col>
      <xdr:colOff>177800</xdr:colOff>
      <xdr:row>16</xdr:row>
      <xdr:rowOff>68774</xdr:rowOff>
    </xdr:to>
    <xdr:sp macro="" textlink="">
      <xdr:nvSpPr>
        <xdr:cNvPr id="33877" name="Text Box 4">
          <a:extLst>
            <a:ext uri="{FF2B5EF4-FFF2-40B4-BE49-F238E27FC236}">
              <a16:creationId xmlns:a16="http://schemas.microsoft.com/office/drawing/2014/main" id="{56D55FAC-4203-AEAE-5096-45436856C801}"/>
            </a:ext>
          </a:extLst>
        </xdr:cNvPr>
        <xdr:cNvSpPr txBox="1">
          <a:spLocks noChangeArrowheads="1"/>
        </xdr:cNvSpPr>
      </xdr:nvSpPr>
      <xdr:spPr bwMode="auto">
        <a:xfrm>
          <a:off x="25374600" y="2921000"/>
          <a:ext cx="177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25</xdr:col>
      <xdr:colOff>76200</xdr:colOff>
      <xdr:row>15</xdr:row>
      <xdr:rowOff>0</xdr:rowOff>
    </xdr:from>
    <xdr:to>
      <xdr:col>26</xdr:col>
      <xdr:colOff>2822</xdr:colOff>
      <xdr:row>16</xdr:row>
      <xdr:rowOff>68774</xdr:rowOff>
    </xdr:to>
    <xdr:sp macro="" textlink="">
      <xdr:nvSpPr>
        <xdr:cNvPr id="33878" name="Text Box 4">
          <a:extLst>
            <a:ext uri="{FF2B5EF4-FFF2-40B4-BE49-F238E27FC236}">
              <a16:creationId xmlns:a16="http://schemas.microsoft.com/office/drawing/2014/main" id="{FB6DE3A6-4140-4075-2907-24F7628317E8}"/>
            </a:ext>
          </a:extLst>
        </xdr:cNvPr>
        <xdr:cNvSpPr txBox="1">
          <a:spLocks noChangeArrowheads="1"/>
        </xdr:cNvSpPr>
      </xdr:nvSpPr>
      <xdr:spPr bwMode="auto">
        <a:xfrm>
          <a:off x="23075900" y="2921000"/>
          <a:ext cx="50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25</xdr:col>
      <xdr:colOff>76200</xdr:colOff>
      <xdr:row>15</xdr:row>
      <xdr:rowOff>0</xdr:rowOff>
    </xdr:from>
    <xdr:to>
      <xdr:col>26</xdr:col>
      <xdr:colOff>2822</xdr:colOff>
      <xdr:row>16</xdr:row>
      <xdr:rowOff>68774</xdr:rowOff>
    </xdr:to>
    <xdr:sp macro="" textlink="">
      <xdr:nvSpPr>
        <xdr:cNvPr id="33879" name="Text Box 4">
          <a:extLst>
            <a:ext uri="{FF2B5EF4-FFF2-40B4-BE49-F238E27FC236}">
              <a16:creationId xmlns:a16="http://schemas.microsoft.com/office/drawing/2014/main" id="{1196A401-B590-0CD5-F848-79FA4098E1D7}"/>
            </a:ext>
          </a:extLst>
        </xdr:cNvPr>
        <xdr:cNvSpPr txBox="1">
          <a:spLocks noChangeArrowheads="1"/>
        </xdr:cNvSpPr>
      </xdr:nvSpPr>
      <xdr:spPr bwMode="auto">
        <a:xfrm>
          <a:off x="23075900" y="2921000"/>
          <a:ext cx="50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0</xdr:colOff>
      <xdr:row>15</xdr:row>
      <xdr:rowOff>0</xdr:rowOff>
    </xdr:from>
    <xdr:to>
      <xdr:col>31</xdr:col>
      <xdr:colOff>49823</xdr:colOff>
      <xdr:row>16</xdr:row>
      <xdr:rowOff>68774</xdr:rowOff>
    </xdr:to>
    <xdr:sp macro="" textlink="">
      <xdr:nvSpPr>
        <xdr:cNvPr id="33880" name="Text Box 4">
          <a:extLst>
            <a:ext uri="{FF2B5EF4-FFF2-40B4-BE49-F238E27FC236}">
              <a16:creationId xmlns:a16="http://schemas.microsoft.com/office/drawing/2014/main" id="{6D70CC3C-F91D-5E12-4DEA-BC4972750CA3}"/>
            </a:ext>
          </a:extLst>
        </xdr:cNvPr>
        <xdr:cNvSpPr txBox="1">
          <a:spLocks noChangeArrowheads="1"/>
        </xdr:cNvSpPr>
      </xdr:nvSpPr>
      <xdr:spPr bwMode="auto">
        <a:xfrm>
          <a:off x="27406600" y="2921000"/>
          <a:ext cx="50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29</xdr:col>
      <xdr:colOff>0</xdr:colOff>
      <xdr:row>15</xdr:row>
      <xdr:rowOff>0</xdr:rowOff>
    </xdr:from>
    <xdr:to>
      <xdr:col>29</xdr:col>
      <xdr:colOff>177800</xdr:colOff>
      <xdr:row>16</xdr:row>
      <xdr:rowOff>68774</xdr:rowOff>
    </xdr:to>
    <xdr:sp macro="" textlink="">
      <xdr:nvSpPr>
        <xdr:cNvPr id="33881" name="Text Box 4">
          <a:extLst>
            <a:ext uri="{FF2B5EF4-FFF2-40B4-BE49-F238E27FC236}">
              <a16:creationId xmlns:a16="http://schemas.microsoft.com/office/drawing/2014/main" id="{13BA2609-55E6-22A6-1A31-D7ACD9BB3990}"/>
            </a:ext>
          </a:extLst>
        </xdr:cNvPr>
        <xdr:cNvSpPr txBox="1">
          <a:spLocks noChangeArrowheads="1"/>
        </xdr:cNvSpPr>
      </xdr:nvSpPr>
      <xdr:spPr bwMode="auto">
        <a:xfrm>
          <a:off x="25374600" y="2921000"/>
          <a:ext cx="177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29</xdr:col>
      <xdr:colOff>0</xdr:colOff>
      <xdr:row>15</xdr:row>
      <xdr:rowOff>0</xdr:rowOff>
    </xdr:from>
    <xdr:to>
      <xdr:col>29</xdr:col>
      <xdr:colOff>177800</xdr:colOff>
      <xdr:row>16</xdr:row>
      <xdr:rowOff>68774</xdr:rowOff>
    </xdr:to>
    <xdr:sp macro="" textlink="">
      <xdr:nvSpPr>
        <xdr:cNvPr id="33882" name="Text Box 4">
          <a:extLst>
            <a:ext uri="{FF2B5EF4-FFF2-40B4-BE49-F238E27FC236}">
              <a16:creationId xmlns:a16="http://schemas.microsoft.com/office/drawing/2014/main" id="{DCF5ADAF-BE9A-F791-BD5D-76072919786E}"/>
            </a:ext>
          </a:extLst>
        </xdr:cNvPr>
        <xdr:cNvSpPr txBox="1">
          <a:spLocks noChangeArrowheads="1"/>
        </xdr:cNvSpPr>
      </xdr:nvSpPr>
      <xdr:spPr bwMode="auto">
        <a:xfrm>
          <a:off x="25374600" y="2921000"/>
          <a:ext cx="177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76200</xdr:colOff>
      <xdr:row>15</xdr:row>
      <xdr:rowOff>0</xdr:rowOff>
    </xdr:from>
    <xdr:to>
      <xdr:col>29</xdr:col>
      <xdr:colOff>2823</xdr:colOff>
      <xdr:row>16</xdr:row>
      <xdr:rowOff>68774</xdr:rowOff>
    </xdr:to>
    <xdr:sp macro="" textlink="">
      <xdr:nvSpPr>
        <xdr:cNvPr id="33883" name="Text Box 4">
          <a:extLst>
            <a:ext uri="{FF2B5EF4-FFF2-40B4-BE49-F238E27FC236}">
              <a16:creationId xmlns:a16="http://schemas.microsoft.com/office/drawing/2014/main" id="{DE782708-0393-3EE5-251A-E0C341BE4C61}"/>
            </a:ext>
          </a:extLst>
        </xdr:cNvPr>
        <xdr:cNvSpPr txBox="1">
          <a:spLocks noChangeArrowheads="1"/>
        </xdr:cNvSpPr>
      </xdr:nvSpPr>
      <xdr:spPr bwMode="auto">
        <a:xfrm>
          <a:off x="25361900" y="2921000"/>
          <a:ext cx="50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76200</xdr:colOff>
      <xdr:row>15</xdr:row>
      <xdr:rowOff>0</xdr:rowOff>
    </xdr:from>
    <xdr:to>
      <xdr:col>29</xdr:col>
      <xdr:colOff>2823</xdr:colOff>
      <xdr:row>16</xdr:row>
      <xdr:rowOff>68774</xdr:rowOff>
    </xdr:to>
    <xdr:sp macro="" textlink="">
      <xdr:nvSpPr>
        <xdr:cNvPr id="33884" name="Text Box 4">
          <a:extLst>
            <a:ext uri="{FF2B5EF4-FFF2-40B4-BE49-F238E27FC236}">
              <a16:creationId xmlns:a16="http://schemas.microsoft.com/office/drawing/2014/main" id="{C7322069-2C93-3674-13AE-555A5A861636}"/>
            </a:ext>
          </a:extLst>
        </xdr:cNvPr>
        <xdr:cNvSpPr txBox="1">
          <a:spLocks noChangeArrowheads="1"/>
        </xdr:cNvSpPr>
      </xdr:nvSpPr>
      <xdr:spPr bwMode="auto">
        <a:xfrm>
          <a:off x="25361900" y="2921000"/>
          <a:ext cx="50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0</xdr:colOff>
      <xdr:row>15</xdr:row>
      <xdr:rowOff>0</xdr:rowOff>
    </xdr:from>
    <xdr:to>
      <xdr:col>31</xdr:col>
      <xdr:colOff>177800</xdr:colOff>
      <xdr:row>16</xdr:row>
      <xdr:rowOff>68774</xdr:rowOff>
    </xdr:to>
    <xdr:sp macro="" textlink="">
      <xdr:nvSpPr>
        <xdr:cNvPr id="33885" name="Text Box 4">
          <a:extLst>
            <a:ext uri="{FF2B5EF4-FFF2-40B4-BE49-F238E27FC236}">
              <a16:creationId xmlns:a16="http://schemas.microsoft.com/office/drawing/2014/main" id="{04F7A226-5FEE-861A-6DF7-B012AB800C66}"/>
            </a:ext>
          </a:extLst>
        </xdr:cNvPr>
        <xdr:cNvSpPr txBox="1">
          <a:spLocks noChangeArrowheads="1"/>
        </xdr:cNvSpPr>
      </xdr:nvSpPr>
      <xdr:spPr bwMode="auto">
        <a:xfrm>
          <a:off x="27419300" y="2921000"/>
          <a:ext cx="177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0</xdr:colOff>
      <xdr:row>15</xdr:row>
      <xdr:rowOff>0</xdr:rowOff>
    </xdr:from>
    <xdr:to>
      <xdr:col>31</xdr:col>
      <xdr:colOff>177800</xdr:colOff>
      <xdr:row>16</xdr:row>
      <xdr:rowOff>68774</xdr:rowOff>
    </xdr:to>
    <xdr:sp macro="" textlink="">
      <xdr:nvSpPr>
        <xdr:cNvPr id="33886" name="Text Box 4">
          <a:extLst>
            <a:ext uri="{FF2B5EF4-FFF2-40B4-BE49-F238E27FC236}">
              <a16:creationId xmlns:a16="http://schemas.microsoft.com/office/drawing/2014/main" id="{A81C3701-A1A6-01EF-08A2-E0A17FB66870}"/>
            </a:ext>
          </a:extLst>
        </xdr:cNvPr>
        <xdr:cNvSpPr txBox="1">
          <a:spLocks noChangeArrowheads="1"/>
        </xdr:cNvSpPr>
      </xdr:nvSpPr>
      <xdr:spPr bwMode="auto">
        <a:xfrm>
          <a:off x="27419300" y="2921000"/>
          <a:ext cx="177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0</xdr:colOff>
      <xdr:row>15</xdr:row>
      <xdr:rowOff>0</xdr:rowOff>
    </xdr:from>
    <xdr:to>
      <xdr:col>31</xdr:col>
      <xdr:colOff>177800</xdr:colOff>
      <xdr:row>16</xdr:row>
      <xdr:rowOff>68774</xdr:rowOff>
    </xdr:to>
    <xdr:sp macro="" textlink="">
      <xdr:nvSpPr>
        <xdr:cNvPr id="33887" name="Text Box 4">
          <a:extLst>
            <a:ext uri="{FF2B5EF4-FFF2-40B4-BE49-F238E27FC236}">
              <a16:creationId xmlns:a16="http://schemas.microsoft.com/office/drawing/2014/main" id="{A65EC4B8-53DC-5E4F-95C2-DC9ABD20312B}"/>
            </a:ext>
          </a:extLst>
        </xdr:cNvPr>
        <xdr:cNvSpPr txBox="1">
          <a:spLocks noChangeArrowheads="1"/>
        </xdr:cNvSpPr>
      </xdr:nvSpPr>
      <xdr:spPr bwMode="auto">
        <a:xfrm>
          <a:off x="27419300" y="2921000"/>
          <a:ext cx="177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0</xdr:colOff>
      <xdr:row>15</xdr:row>
      <xdr:rowOff>0</xdr:rowOff>
    </xdr:from>
    <xdr:to>
      <xdr:col>31</xdr:col>
      <xdr:colOff>49823</xdr:colOff>
      <xdr:row>16</xdr:row>
      <xdr:rowOff>68774</xdr:rowOff>
    </xdr:to>
    <xdr:sp macro="" textlink="">
      <xdr:nvSpPr>
        <xdr:cNvPr id="33888" name="Text Box 4">
          <a:extLst>
            <a:ext uri="{FF2B5EF4-FFF2-40B4-BE49-F238E27FC236}">
              <a16:creationId xmlns:a16="http://schemas.microsoft.com/office/drawing/2014/main" id="{1830ED58-13E7-D6E4-D635-6555291EF88E}"/>
            </a:ext>
          </a:extLst>
        </xdr:cNvPr>
        <xdr:cNvSpPr txBox="1">
          <a:spLocks noChangeArrowheads="1"/>
        </xdr:cNvSpPr>
      </xdr:nvSpPr>
      <xdr:spPr bwMode="auto">
        <a:xfrm>
          <a:off x="27406600" y="2921000"/>
          <a:ext cx="50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0</xdr:colOff>
      <xdr:row>15</xdr:row>
      <xdr:rowOff>0</xdr:rowOff>
    </xdr:from>
    <xdr:to>
      <xdr:col>31</xdr:col>
      <xdr:colOff>49823</xdr:colOff>
      <xdr:row>16</xdr:row>
      <xdr:rowOff>68774</xdr:rowOff>
    </xdr:to>
    <xdr:sp macro="" textlink="">
      <xdr:nvSpPr>
        <xdr:cNvPr id="33889" name="Text Box 4">
          <a:extLst>
            <a:ext uri="{FF2B5EF4-FFF2-40B4-BE49-F238E27FC236}">
              <a16:creationId xmlns:a16="http://schemas.microsoft.com/office/drawing/2014/main" id="{73085C15-6166-3922-B80E-0BF2F320043F}"/>
            </a:ext>
          </a:extLst>
        </xdr:cNvPr>
        <xdr:cNvSpPr txBox="1">
          <a:spLocks noChangeArrowheads="1"/>
        </xdr:cNvSpPr>
      </xdr:nvSpPr>
      <xdr:spPr bwMode="auto">
        <a:xfrm>
          <a:off x="27406600" y="2921000"/>
          <a:ext cx="508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31</xdr:col>
      <xdr:colOff>0</xdr:colOff>
      <xdr:row>17</xdr:row>
      <xdr:rowOff>0</xdr:rowOff>
    </xdr:from>
    <xdr:ext cx="49823" cy="278423"/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24B387BA-2B28-E44D-AE51-947C636678CD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17</xdr:row>
      <xdr:rowOff>0</xdr:rowOff>
    </xdr:from>
    <xdr:ext cx="177800" cy="278423"/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D1C46D1E-DD07-1542-AC6B-332F5336D151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17</xdr:row>
      <xdr:rowOff>0</xdr:rowOff>
    </xdr:from>
    <xdr:ext cx="177800" cy="278423"/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A0B96CBE-A82E-EF4B-983F-742A89C6C1D7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17</xdr:row>
      <xdr:rowOff>0</xdr:rowOff>
    </xdr:from>
    <xdr:ext cx="177800" cy="278423"/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5352E097-935F-AF41-B840-44D19F894EC1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17</xdr:row>
      <xdr:rowOff>0</xdr:rowOff>
    </xdr:from>
    <xdr:ext cx="49823" cy="278423"/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110D70B2-ADDF-D04F-B527-F21AC1F878C9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17</xdr:row>
      <xdr:rowOff>0</xdr:rowOff>
    </xdr:from>
    <xdr:ext cx="49823" cy="278423"/>
    <xdr:sp macro="" textlink="">
      <xdr:nvSpPr>
        <xdr:cNvPr id="7" name="Text Box 4">
          <a:extLst>
            <a:ext uri="{FF2B5EF4-FFF2-40B4-BE49-F238E27FC236}">
              <a16:creationId xmlns:a16="http://schemas.microsoft.com/office/drawing/2014/main" id="{B8270EF7-5B1C-3F4A-B169-F27C752683C1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18</xdr:row>
      <xdr:rowOff>0</xdr:rowOff>
    </xdr:from>
    <xdr:ext cx="49823" cy="278423"/>
    <xdr:sp macro="" textlink="">
      <xdr:nvSpPr>
        <xdr:cNvPr id="8" name="Text Box 4">
          <a:extLst>
            <a:ext uri="{FF2B5EF4-FFF2-40B4-BE49-F238E27FC236}">
              <a16:creationId xmlns:a16="http://schemas.microsoft.com/office/drawing/2014/main" id="{0FA28D12-2CE1-DE4A-833B-5CDB03E519EC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18</xdr:row>
      <xdr:rowOff>0</xdr:rowOff>
    </xdr:from>
    <xdr:ext cx="177800" cy="278423"/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D7E7B1A9-6AF2-8D4F-B38D-715703887D77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18</xdr:row>
      <xdr:rowOff>0</xdr:rowOff>
    </xdr:from>
    <xdr:ext cx="177800" cy="278423"/>
    <xdr:sp macro="" textlink="">
      <xdr:nvSpPr>
        <xdr:cNvPr id="29" name="Text Box 4">
          <a:extLst>
            <a:ext uri="{FF2B5EF4-FFF2-40B4-BE49-F238E27FC236}">
              <a16:creationId xmlns:a16="http://schemas.microsoft.com/office/drawing/2014/main" id="{D0FE0694-BE58-1341-8F53-F6015277B094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18</xdr:row>
      <xdr:rowOff>0</xdr:rowOff>
    </xdr:from>
    <xdr:ext cx="177800" cy="278423"/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875A01AC-BEFC-804C-BA9B-70720FE95797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1064846</xdr:colOff>
      <xdr:row>19</xdr:row>
      <xdr:rowOff>107462</xdr:rowOff>
    </xdr:from>
    <xdr:ext cx="49823" cy="278423"/>
    <xdr:sp macro="" textlink="">
      <xdr:nvSpPr>
        <xdr:cNvPr id="32" name="Text Box 4">
          <a:extLst>
            <a:ext uri="{FF2B5EF4-FFF2-40B4-BE49-F238E27FC236}">
              <a16:creationId xmlns:a16="http://schemas.microsoft.com/office/drawing/2014/main" id="{47B1D365-9356-9F40-8919-9E8FF8C0893B}"/>
            </a:ext>
          </a:extLst>
        </xdr:cNvPr>
        <xdr:cNvSpPr txBox="1">
          <a:spLocks noChangeArrowheads="1"/>
        </xdr:cNvSpPr>
      </xdr:nvSpPr>
      <xdr:spPr bwMode="auto">
        <a:xfrm>
          <a:off x="27363615" y="3624385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19</xdr:row>
      <xdr:rowOff>0</xdr:rowOff>
    </xdr:from>
    <xdr:ext cx="49823" cy="278423"/>
    <xdr:sp macro="" textlink="">
      <xdr:nvSpPr>
        <xdr:cNvPr id="33" name="Text Box 4">
          <a:extLst>
            <a:ext uri="{FF2B5EF4-FFF2-40B4-BE49-F238E27FC236}">
              <a16:creationId xmlns:a16="http://schemas.microsoft.com/office/drawing/2014/main" id="{3F523D58-DF43-5F44-B69B-CDC8B486ACAF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19</xdr:row>
      <xdr:rowOff>0</xdr:rowOff>
    </xdr:from>
    <xdr:ext cx="177800" cy="278423"/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B83D0E2B-F3FE-4247-A7F9-E395DB25F697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19</xdr:row>
      <xdr:rowOff>0</xdr:rowOff>
    </xdr:from>
    <xdr:ext cx="177800" cy="278423"/>
    <xdr:sp macro="" textlink="">
      <xdr:nvSpPr>
        <xdr:cNvPr id="35" name="Text Box 4">
          <a:extLst>
            <a:ext uri="{FF2B5EF4-FFF2-40B4-BE49-F238E27FC236}">
              <a16:creationId xmlns:a16="http://schemas.microsoft.com/office/drawing/2014/main" id="{199E2438-31D5-E14F-9927-2B0877C1900D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19</xdr:row>
      <xdr:rowOff>0</xdr:rowOff>
    </xdr:from>
    <xdr:ext cx="177800" cy="278423"/>
    <xdr:sp macro="" textlink="">
      <xdr:nvSpPr>
        <xdr:cNvPr id="36" name="Text Box 4">
          <a:extLst>
            <a:ext uri="{FF2B5EF4-FFF2-40B4-BE49-F238E27FC236}">
              <a16:creationId xmlns:a16="http://schemas.microsoft.com/office/drawing/2014/main" id="{E54C7508-A9C9-AA43-BC51-207B3B2511EC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19</xdr:row>
      <xdr:rowOff>0</xdr:rowOff>
    </xdr:from>
    <xdr:ext cx="49823" cy="278423"/>
    <xdr:sp macro="" textlink="">
      <xdr:nvSpPr>
        <xdr:cNvPr id="37" name="Text Box 4">
          <a:extLst>
            <a:ext uri="{FF2B5EF4-FFF2-40B4-BE49-F238E27FC236}">
              <a16:creationId xmlns:a16="http://schemas.microsoft.com/office/drawing/2014/main" id="{679DA331-92D3-A44E-A8AE-7F29726911E7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19</xdr:row>
      <xdr:rowOff>0</xdr:rowOff>
    </xdr:from>
    <xdr:ext cx="49823" cy="278423"/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99882D1F-8F68-9943-9A1A-ED55FF59C756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19</xdr:row>
      <xdr:rowOff>0</xdr:rowOff>
    </xdr:from>
    <xdr:ext cx="49823" cy="278423"/>
    <xdr:sp macro="" textlink="">
      <xdr:nvSpPr>
        <xdr:cNvPr id="39" name="Text Box 4">
          <a:extLst>
            <a:ext uri="{FF2B5EF4-FFF2-40B4-BE49-F238E27FC236}">
              <a16:creationId xmlns:a16="http://schemas.microsoft.com/office/drawing/2014/main" id="{16D4532F-964D-E740-BD88-291B7561741F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19</xdr:row>
      <xdr:rowOff>0</xdr:rowOff>
    </xdr:from>
    <xdr:ext cx="177800" cy="278423"/>
    <xdr:sp macro="" textlink="">
      <xdr:nvSpPr>
        <xdr:cNvPr id="40" name="Text Box 4">
          <a:extLst>
            <a:ext uri="{FF2B5EF4-FFF2-40B4-BE49-F238E27FC236}">
              <a16:creationId xmlns:a16="http://schemas.microsoft.com/office/drawing/2014/main" id="{0256A567-A8A7-7F4B-B1F0-C9506F170A22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19</xdr:row>
      <xdr:rowOff>0</xdr:rowOff>
    </xdr:from>
    <xdr:ext cx="177800" cy="278423"/>
    <xdr:sp macro="" textlink="">
      <xdr:nvSpPr>
        <xdr:cNvPr id="41" name="Text Box 4">
          <a:extLst>
            <a:ext uri="{FF2B5EF4-FFF2-40B4-BE49-F238E27FC236}">
              <a16:creationId xmlns:a16="http://schemas.microsoft.com/office/drawing/2014/main" id="{0D21F1C4-D8CE-6247-A807-5BA33F55CBCE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19</xdr:row>
      <xdr:rowOff>0</xdr:rowOff>
    </xdr:from>
    <xdr:ext cx="177800" cy="278423"/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B1B4210A-7012-D946-8B67-3EEEA3EA5AE2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19</xdr:row>
      <xdr:rowOff>0</xdr:rowOff>
    </xdr:from>
    <xdr:ext cx="49823" cy="278423"/>
    <xdr:sp macro="" textlink="">
      <xdr:nvSpPr>
        <xdr:cNvPr id="43" name="Text Box 4">
          <a:extLst>
            <a:ext uri="{FF2B5EF4-FFF2-40B4-BE49-F238E27FC236}">
              <a16:creationId xmlns:a16="http://schemas.microsoft.com/office/drawing/2014/main" id="{012FF5C7-4FEC-F241-BF46-4E02D5FEB030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1074616</xdr:colOff>
      <xdr:row>19</xdr:row>
      <xdr:rowOff>58615</xdr:rowOff>
    </xdr:from>
    <xdr:ext cx="49823" cy="278423"/>
    <xdr:sp macro="" textlink="">
      <xdr:nvSpPr>
        <xdr:cNvPr id="44" name="Text Box 4">
          <a:extLst>
            <a:ext uri="{FF2B5EF4-FFF2-40B4-BE49-F238E27FC236}">
              <a16:creationId xmlns:a16="http://schemas.microsoft.com/office/drawing/2014/main" id="{11FF7489-7AE4-0448-95D4-6B9C004374FC}"/>
            </a:ext>
          </a:extLst>
        </xdr:cNvPr>
        <xdr:cNvSpPr txBox="1">
          <a:spLocks noChangeArrowheads="1"/>
        </xdr:cNvSpPr>
      </xdr:nvSpPr>
      <xdr:spPr bwMode="auto">
        <a:xfrm>
          <a:off x="27373385" y="357553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49823" cy="278423"/>
    <xdr:sp macro="" textlink="">
      <xdr:nvSpPr>
        <xdr:cNvPr id="45" name="Text Box 4">
          <a:extLst>
            <a:ext uri="{FF2B5EF4-FFF2-40B4-BE49-F238E27FC236}">
              <a16:creationId xmlns:a16="http://schemas.microsoft.com/office/drawing/2014/main" id="{F8BFA976-957A-C34B-803B-1E1D047E4E6D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177800" cy="278423"/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D61E62A3-56B0-6B4B-83D1-5A95DAD4FFC6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177800" cy="278423"/>
    <xdr:sp macro="" textlink="">
      <xdr:nvSpPr>
        <xdr:cNvPr id="47" name="Text Box 4">
          <a:extLst>
            <a:ext uri="{FF2B5EF4-FFF2-40B4-BE49-F238E27FC236}">
              <a16:creationId xmlns:a16="http://schemas.microsoft.com/office/drawing/2014/main" id="{DE008A10-D815-374F-8FD6-21CE32CACEA5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177800" cy="278423"/>
    <xdr:sp macro="" textlink="">
      <xdr:nvSpPr>
        <xdr:cNvPr id="48" name="Text Box 4">
          <a:extLst>
            <a:ext uri="{FF2B5EF4-FFF2-40B4-BE49-F238E27FC236}">
              <a16:creationId xmlns:a16="http://schemas.microsoft.com/office/drawing/2014/main" id="{E483564A-159C-F646-BF71-372A5A1D4427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49823" cy="278423"/>
    <xdr:sp macro="" textlink="">
      <xdr:nvSpPr>
        <xdr:cNvPr id="49" name="Text Box 4">
          <a:extLst>
            <a:ext uri="{FF2B5EF4-FFF2-40B4-BE49-F238E27FC236}">
              <a16:creationId xmlns:a16="http://schemas.microsoft.com/office/drawing/2014/main" id="{018406CD-A047-A84E-BC48-82307E5E983A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49823" cy="278423"/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19787DA6-D22D-E245-95A2-C30567325716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49823" cy="278423"/>
    <xdr:sp macro="" textlink="">
      <xdr:nvSpPr>
        <xdr:cNvPr id="51" name="Text Box 4">
          <a:extLst>
            <a:ext uri="{FF2B5EF4-FFF2-40B4-BE49-F238E27FC236}">
              <a16:creationId xmlns:a16="http://schemas.microsoft.com/office/drawing/2014/main" id="{738358C2-DF29-434A-B2D0-6D90571AB583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177800" cy="278423"/>
    <xdr:sp macro="" textlink="">
      <xdr:nvSpPr>
        <xdr:cNvPr id="52" name="Text Box 4">
          <a:extLst>
            <a:ext uri="{FF2B5EF4-FFF2-40B4-BE49-F238E27FC236}">
              <a16:creationId xmlns:a16="http://schemas.microsoft.com/office/drawing/2014/main" id="{CD1C187B-7DBA-5047-B23A-4995D35166B1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177800" cy="278423"/>
    <xdr:sp macro="" textlink="">
      <xdr:nvSpPr>
        <xdr:cNvPr id="53" name="Text Box 4">
          <a:extLst>
            <a:ext uri="{FF2B5EF4-FFF2-40B4-BE49-F238E27FC236}">
              <a16:creationId xmlns:a16="http://schemas.microsoft.com/office/drawing/2014/main" id="{13DDF241-B976-3544-BCAA-93700326314E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177800" cy="278423"/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E4129AC3-47DA-9547-B04F-5FEB2DE3F389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49823" cy="278423"/>
    <xdr:sp macro="" textlink="">
      <xdr:nvSpPr>
        <xdr:cNvPr id="55" name="Text Box 4">
          <a:extLst>
            <a:ext uri="{FF2B5EF4-FFF2-40B4-BE49-F238E27FC236}">
              <a16:creationId xmlns:a16="http://schemas.microsoft.com/office/drawing/2014/main" id="{091A8A6A-51E7-8648-BB44-D5A38E0C35CA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20</xdr:row>
      <xdr:rowOff>0</xdr:rowOff>
    </xdr:from>
    <xdr:ext cx="49823" cy="278423"/>
    <xdr:sp macro="" textlink="">
      <xdr:nvSpPr>
        <xdr:cNvPr id="56" name="Text Box 4">
          <a:extLst>
            <a:ext uri="{FF2B5EF4-FFF2-40B4-BE49-F238E27FC236}">
              <a16:creationId xmlns:a16="http://schemas.microsoft.com/office/drawing/2014/main" id="{69C69D12-E8C0-1C42-80AA-516B400F0EC5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57" name="Text Box 4">
          <a:extLst>
            <a:ext uri="{FF2B5EF4-FFF2-40B4-BE49-F238E27FC236}">
              <a16:creationId xmlns:a16="http://schemas.microsoft.com/office/drawing/2014/main" id="{DF95364E-B0ED-4643-AEB2-E15AE22E2FC5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C036C8D5-0F39-9748-9DC9-4F1E5599309E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59" name="Text Box 4">
          <a:extLst>
            <a:ext uri="{FF2B5EF4-FFF2-40B4-BE49-F238E27FC236}">
              <a16:creationId xmlns:a16="http://schemas.microsoft.com/office/drawing/2014/main" id="{2601F657-0C97-4843-9BBE-D59D40690C50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60" name="Text Box 4">
          <a:extLst>
            <a:ext uri="{FF2B5EF4-FFF2-40B4-BE49-F238E27FC236}">
              <a16:creationId xmlns:a16="http://schemas.microsoft.com/office/drawing/2014/main" id="{000A430A-9DFC-674D-AA69-5BF1CA0C082F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61" name="Text Box 4">
          <a:extLst>
            <a:ext uri="{FF2B5EF4-FFF2-40B4-BE49-F238E27FC236}">
              <a16:creationId xmlns:a16="http://schemas.microsoft.com/office/drawing/2014/main" id="{D8C45DDC-C552-D24B-9658-542D466180D9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BD5A8488-5645-8E42-8B9C-C045A7017CA4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63" name="Text Box 4">
          <a:extLst>
            <a:ext uri="{FF2B5EF4-FFF2-40B4-BE49-F238E27FC236}">
              <a16:creationId xmlns:a16="http://schemas.microsoft.com/office/drawing/2014/main" id="{4005B9F3-5456-3740-B681-B2D41E14A121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33792" name="Text Box 4">
          <a:extLst>
            <a:ext uri="{FF2B5EF4-FFF2-40B4-BE49-F238E27FC236}">
              <a16:creationId xmlns:a16="http://schemas.microsoft.com/office/drawing/2014/main" id="{B0F4A0AB-630D-3142-8E46-29B073DE0296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33793" name="Text Box 4">
          <a:extLst>
            <a:ext uri="{FF2B5EF4-FFF2-40B4-BE49-F238E27FC236}">
              <a16:creationId xmlns:a16="http://schemas.microsoft.com/office/drawing/2014/main" id="{0E3F72E4-AE97-EA46-88D2-DD67FC806699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33794" name="Text Box 4">
          <a:extLst>
            <a:ext uri="{FF2B5EF4-FFF2-40B4-BE49-F238E27FC236}">
              <a16:creationId xmlns:a16="http://schemas.microsoft.com/office/drawing/2014/main" id="{08D87CA4-63FE-2A49-8FAC-07D9F421F58E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33795" name="Text Box 4">
          <a:extLst>
            <a:ext uri="{FF2B5EF4-FFF2-40B4-BE49-F238E27FC236}">
              <a16:creationId xmlns:a16="http://schemas.microsoft.com/office/drawing/2014/main" id="{E4E9F4A3-ED2A-0D4D-993D-669756B4F1B8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33796" name="Text Box 4">
          <a:extLst>
            <a:ext uri="{FF2B5EF4-FFF2-40B4-BE49-F238E27FC236}">
              <a16:creationId xmlns:a16="http://schemas.microsoft.com/office/drawing/2014/main" id="{50ABADED-2D4C-4347-8146-A3D867EAEE7E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49823" cy="278423"/>
    <xdr:sp macro="" textlink="">
      <xdr:nvSpPr>
        <xdr:cNvPr id="33797" name="Text Box 4">
          <a:extLst>
            <a:ext uri="{FF2B5EF4-FFF2-40B4-BE49-F238E27FC236}">
              <a16:creationId xmlns:a16="http://schemas.microsoft.com/office/drawing/2014/main" id="{5B231C12-7E03-EA4D-9249-E1A5F9AA7B99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177800" cy="278423"/>
    <xdr:sp macro="" textlink="">
      <xdr:nvSpPr>
        <xdr:cNvPr id="33798" name="Text Box 4">
          <a:extLst>
            <a:ext uri="{FF2B5EF4-FFF2-40B4-BE49-F238E27FC236}">
              <a16:creationId xmlns:a16="http://schemas.microsoft.com/office/drawing/2014/main" id="{4D028E04-A205-7A4B-B604-F41F49D5A8E1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177800" cy="278423"/>
    <xdr:sp macro="" textlink="">
      <xdr:nvSpPr>
        <xdr:cNvPr id="33799" name="Text Box 4">
          <a:extLst>
            <a:ext uri="{FF2B5EF4-FFF2-40B4-BE49-F238E27FC236}">
              <a16:creationId xmlns:a16="http://schemas.microsoft.com/office/drawing/2014/main" id="{D09AFBAB-0783-9949-9144-9794DDB4901F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177800" cy="278423"/>
    <xdr:sp macro="" textlink="">
      <xdr:nvSpPr>
        <xdr:cNvPr id="33800" name="Text Box 4">
          <a:extLst>
            <a:ext uri="{FF2B5EF4-FFF2-40B4-BE49-F238E27FC236}">
              <a16:creationId xmlns:a16="http://schemas.microsoft.com/office/drawing/2014/main" id="{DDAA3EB0-5132-7245-8C70-5F4F804A047D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49823" cy="278423"/>
    <xdr:sp macro="" textlink="">
      <xdr:nvSpPr>
        <xdr:cNvPr id="33801" name="Text Box 4">
          <a:extLst>
            <a:ext uri="{FF2B5EF4-FFF2-40B4-BE49-F238E27FC236}">
              <a16:creationId xmlns:a16="http://schemas.microsoft.com/office/drawing/2014/main" id="{D5FC3BD0-29E2-6F47-826E-063FD97FD7C7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49823" cy="278423"/>
    <xdr:sp macro="" textlink="">
      <xdr:nvSpPr>
        <xdr:cNvPr id="33802" name="Text Box 4">
          <a:extLst>
            <a:ext uri="{FF2B5EF4-FFF2-40B4-BE49-F238E27FC236}">
              <a16:creationId xmlns:a16="http://schemas.microsoft.com/office/drawing/2014/main" id="{3FD77D3E-4D52-274E-B915-89C9B8B1B8D9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49823" cy="278423"/>
    <xdr:sp macro="" textlink="">
      <xdr:nvSpPr>
        <xdr:cNvPr id="33803" name="Text Box 4">
          <a:extLst>
            <a:ext uri="{FF2B5EF4-FFF2-40B4-BE49-F238E27FC236}">
              <a16:creationId xmlns:a16="http://schemas.microsoft.com/office/drawing/2014/main" id="{C8DB79A1-D82E-904B-93F7-3BC76D8C11E3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177800" cy="278423"/>
    <xdr:sp macro="" textlink="">
      <xdr:nvSpPr>
        <xdr:cNvPr id="33804" name="Text Box 4">
          <a:extLst>
            <a:ext uri="{FF2B5EF4-FFF2-40B4-BE49-F238E27FC236}">
              <a16:creationId xmlns:a16="http://schemas.microsoft.com/office/drawing/2014/main" id="{CCAC7AF5-557B-A04B-A15F-1FD141ECF286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177800" cy="278423"/>
    <xdr:sp macro="" textlink="">
      <xdr:nvSpPr>
        <xdr:cNvPr id="33805" name="Text Box 4">
          <a:extLst>
            <a:ext uri="{FF2B5EF4-FFF2-40B4-BE49-F238E27FC236}">
              <a16:creationId xmlns:a16="http://schemas.microsoft.com/office/drawing/2014/main" id="{C3BDC48E-620D-2A45-B8DB-FD42AC75980C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177800" cy="278423"/>
    <xdr:sp macro="" textlink="">
      <xdr:nvSpPr>
        <xdr:cNvPr id="33806" name="Text Box 4">
          <a:extLst>
            <a:ext uri="{FF2B5EF4-FFF2-40B4-BE49-F238E27FC236}">
              <a16:creationId xmlns:a16="http://schemas.microsoft.com/office/drawing/2014/main" id="{903E3C64-948E-7642-B17B-9B79BA041919}"/>
            </a:ext>
          </a:extLst>
        </xdr:cNvPr>
        <xdr:cNvSpPr txBox="1">
          <a:spLocks noChangeArrowheads="1"/>
        </xdr:cNvSpPr>
      </xdr:nvSpPr>
      <xdr:spPr bwMode="auto">
        <a:xfrm>
          <a:off x="27471077" y="2950308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49823" cy="278423"/>
    <xdr:sp macro="" textlink="">
      <xdr:nvSpPr>
        <xdr:cNvPr id="33807" name="Text Box 4">
          <a:extLst>
            <a:ext uri="{FF2B5EF4-FFF2-40B4-BE49-F238E27FC236}">
              <a16:creationId xmlns:a16="http://schemas.microsoft.com/office/drawing/2014/main" id="{B69297EA-D579-E343-8F4C-263C05D9DA91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24</xdr:row>
      <xdr:rowOff>0</xdr:rowOff>
    </xdr:from>
    <xdr:ext cx="49823" cy="278423"/>
    <xdr:sp macro="" textlink="">
      <xdr:nvSpPr>
        <xdr:cNvPr id="33808" name="Text Box 4">
          <a:extLst>
            <a:ext uri="{FF2B5EF4-FFF2-40B4-BE49-F238E27FC236}">
              <a16:creationId xmlns:a16="http://schemas.microsoft.com/office/drawing/2014/main" id="{FEF3E5A6-CFBE-CF47-A767-6C3EEE9928B2}"/>
            </a:ext>
          </a:extLst>
        </xdr:cNvPr>
        <xdr:cNvSpPr txBox="1">
          <a:spLocks noChangeArrowheads="1"/>
        </xdr:cNvSpPr>
      </xdr:nvSpPr>
      <xdr:spPr bwMode="auto">
        <a:xfrm>
          <a:off x="27459354" y="2950308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29</xdr:row>
      <xdr:rowOff>0</xdr:rowOff>
    </xdr:from>
    <xdr:ext cx="49823" cy="278423"/>
    <xdr:sp macro="" textlink="">
      <xdr:nvSpPr>
        <xdr:cNvPr id="33809" name="Text Box 4">
          <a:extLst>
            <a:ext uri="{FF2B5EF4-FFF2-40B4-BE49-F238E27FC236}">
              <a16:creationId xmlns:a16="http://schemas.microsoft.com/office/drawing/2014/main" id="{358E7B8C-15E7-F74E-8995-430010674CC6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29</xdr:row>
      <xdr:rowOff>0</xdr:rowOff>
    </xdr:from>
    <xdr:ext cx="177800" cy="278423"/>
    <xdr:sp macro="" textlink="">
      <xdr:nvSpPr>
        <xdr:cNvPr id="33810" name="Text Box 4">
          <a:extLst>
            <a:ext uri="{FF2B5EF4-FFF2-40B4-BE49-F238E27FC236}">
              <a16:creationId xmlns:a16="http://schemas.microsoft.com/office/drawing/2014/main" id="{7D459547-19A3-FA49-9F00-77EC6F07F923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29</xdr:row>
      <xdr:rowOff>0</xdr:rowOff>
    </xdr:from>
    <xdr:ext cx="177800" cy="278423"/>
    <xdr:sp macro="" textlink="">
      <xdr:nvSpPr>
        <xdr:cNvPr id="33811" name="Text Box 4">
          <a:extLst>
            <a:ext uri="{FF2B5EF4-FFF2-40B4-BE49-F238E27FC236}">
              <a16:creationId xmlns:a16="http://schemas.microsoft.com/office/drawing/2014/main" id="{79159E4E-86F1-114B-A7BC-250D642E177D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29</xdr:row>
      <xdr:rowOff>0</xdr:rowOff>
    </xdr:from>
    <xdr:ext cx="177800" cy="278423"/>
    <xdr:sp macro="" textlink="">
      <xdr:nvSpPr>
        <xdr:cNvPr id="33812" name="Text Box 4">
          <a:extLst>
            <a:ext uri="{FF2B5EF4-FFF2-40B4-BE49-F238E27FC236}">
              <a16:creationId xmlns:a16="http://schemas.microsoft.com/office/drawing/2014/main" id="{7ED1A33B-DF66-FA44-990A-760E24CF8CAB}"/>
            </a:ext>
          </a:extLst>
        </xdr:cNvPr>
        <xdr:cNvSpPr txBox="1">
          <a:spLocks noChangeArrowheads="1"/>
        </xdr:cNvSpPr>
      </xdr:nvSpPr>
      <xdr:spPr bwMode="auto">
        <a:xfrm>
          <a:off x="27471077" y="3165231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29</xdr:row>
      <xdr:rowOff>0</xdr:rowOff>
    </xdr:from>
    <xdr:ext cx="49823" cy="278423"/>
    <xdr:sp macro="" textlink="">
      <xdr:nvSpPr>
        <xdr:cNvPr id="33813" name="Text Box 4">
          <a:extLst>
            <a:ext uri="{FF2B5EF4-FFF2-40B4-BE49-F238E27FC236}">
              <a16:creationId xmlns:a16="http://schemas.microsoft.com/office/drawing/2014/main" id="{A6A669CD-C870-4145-A897-822F0923FB0B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29</xdr:row>
      <xdr:rowOff>0</xdr:rowOff>
    </xdr:from>
    <xdr:ext cx="49823" cy="278423"/>
    <xdr:sp macro="" textlink="">
      <xdr:nvSpPr>
        <xdr:cNvPr id="33814" name="Text Box 4">
          <a:extLst>
            <a:ext uri="{FF2B5EF4-FFF2-40B4-BE49-F238E27FC236}">
              <a16:creationId xmlns:a16="http://schemas.microsoft.com/office/drawing/2014/main" id="{AFA15670-3E26-1946-B0B8-40120013541A}"/>
            </a:ext>
          </a:extLst>
        </xdr:cNvPr>
        <xdr:cNvSpPr txBox="1">
          <a:spLocks noChangeArrowheads="1"/>
        </xdr:cNvSpPr>
      </xdr:nvSpPr>
      <xdr:spPr bwMode="auto">
        <a:xfrm>
          <a:off x="27459354" y="3165231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31" name="Text Box 4">
          <a:extLst>
            <a:ext uri="{FF2B5EF4-FFF2-40B4-BE49-F238E27FC236}">
              <a16:creationId xmlns:a16="http://schemas.microsoft.com/office/drawing/2014/main" id="{EFEB0D42-7E5C-DB4C-A6FB-8B5CE9832966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33815" name="Text Box 4">
          <a:extLst>
            <a:ext uri="{FF2B5EF4-FFF2-40B4-BE49-F238E27FC236}">
              <a16:creationId xmlns:a16="http://schemas.microsoft.com/office/drawing/2014/main" id="{2825AD0D-031A-9C4E-868E-F75AE249E4DB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33816" name="Text Box 4">
          <a:extLst>
            <a:ext uri="{FF2B5EF4-FFF2-40B4-BE49-F238E27FC236}">
              <a16:creationId xmlns:a16="http://schemas.microsoft.com/office/drawing/2014/main" id="{1BB16F80-C2E6-9F46-AB02-B9038A5EC70E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33817" name="Text Box 4">
          <a:extLst>
            <a:ext uri="{FF2B5EF4-FFF2-40B4-BE49-F238E27FC236}">
              <a16:creationId xmlns:a16="http://schemas.microsoft.com/office/drawing/2014/main" id="{C1C497EA-85BF-5E4C-8C92-B4F1D2D4AA54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33818" name="Text Box 4">
          <a:extLst>
            <a:ext uri="{FF2B5EF4-FFF2-40B4-BE49-F238E27FC236}">
              <a16:creationId xmlns:a16="http://schemas.microsoft.com/office/drawing/2014/main" id="{E9892531-4B5E-9B4F-93B1-D89DDEDB9B22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33819" name="Text Box 4">
          <a:extLst>
            <a:ext uri="{FF2B5EF4-FFF2-40B4-BE49-F238E27FC236}">
              <a16:creationId xmlns:a16="http://schemas.microsoft.com/office/drawing/2014/main" id="{710F4CCD-7506-2E45-AFBC-6BB82F5B62E9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33820" name="Text Box 4">
          <a:extLst>
            <a:ext uri="{FF2B5EF4-FFF2-40B4-BE49-F238E27FC236}">
              <a16:creationId xmlns:a16="http://schemas.microsoft.com/office/drawing/2014/main" id="{20A2C14D-0CB5-CF45-B96F-B85E1D7DFDA1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33821" name="Text Box 4">
          <a:extLst>
            <a:ext uri="{FF2B5EF4-FFF2-40B4-BE49-F238E27FC236}">
              <a16:creationId xmlns:a16="http://schemas.microsoft.com/office/drawing/2014/main" id="{9C078E9F-3FCE-A346-B7FA-2AAC42EB7640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33822" name="Text Box 4">
          <a:extLst>
            <a:ext uri="{FF2B5EF4-FFF2-40B4-BE49-F238E27FC236}">
              <a16:creationId xmlns:a16="http://schemas.microsoft.com/office/drawing/2014/main" id="{A9E97607-2F40-E243-81A7-527B1BC071A2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177800" cy="278423"/>
    <xdr:sp macro="" textlink="">
      <xdr:nvSpPr>
        <xdr:cNvPr id="33823" name="Text Box 4">
          <a:extLst>
            <a:ext uri="{FF2B5EF4-FFF2-40B4-BE49-F238E27FC236}">
              <a16:creationId xmlns:a16="http://schemas.microsoft.com/office/drawing/2014/main" id="{DD9CD4BA-E009-4E48-AA93-571D8A44D982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177800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33824" name="Text Box 4">
          <a:extLst>
            <a:ext uri="{FF2B5EF4-FFF2-40B4-BE49-F238E27FC236}">
              <a16:creationId xmlns:a16="http://schemas.microsoft.com/office/drawing/2014/main" id="{CB3CEC5B-FB79-434E-B251-53D4606526D3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23</xdr:row>
      <xdr:rowOff>0</xdr:rowOff>
    </xdr:from>
    <xdr:ext cx="49823" cy="278423"/>
    <xdr:sp macro="" textlink="">
      <xdr:nvSpPr>
        <xdr:cNvPr id="33825" name="Text Box 4">
          <a:extLst>
            <a:ext uri="{FF2B5EF4-FFF2-40B4-BE49-F238E27FC236}">
              <a16:creationId xmlns:a16="http://schemas.microsoft.com/office/drawing/2014/main" id="{5C90D723-7DD1-4446-9CD9-3E3B5BC0A46A}"/>
            </a:ext>
          </a:extLst>
        </xdr:cNvPr>
        <xdr:cNvSpPr txBox="1">
          <a:spLocks noChangeArrowheads="1"/>
        </xdr:cNvSpPr>
      </xdr:nvSpPr>
      <xdr:spPr bwMode="auto">
        <a:xfrm>
          <a:off x="27467442" y="4174264"/>
          <a:ext cx="49823" cy="27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301"/>
  <sheetViews>
    <sheetView showGridLines="0" tabSelected="1" zoomScale="60" zoomScaleNormal="60" zoomScaleSheetLayoutView="160" zoomScalePageLayoutView="90" workbookViewId="0">
      <pane xSplit="1440" ySplit="1640" activePane="topRight"/>
      <selection activeCell="F205" sqref="F205"/>
      <selection pane="topRight"/>
      <selection pane="bottomLeft" activeCell="A22" sqref="A22:XFD22"/>
      <selection pane="bottomRight" activeCell="AS38" sqref="AJ9:AS38"/>
    </sheetView>
  </sheetViews>
  <sheetFormatPr baseColWidth="10" defaultColWidth="11.5" defaultRowHeight="12"/>
  <cols>
    <col min="1" max="1" width="6.33203125" style="2" customWidth="1"/>
    <col min="2" max="2" width="65.5" style="1" customWidth="1"/>
    <col min="3" max="3" width="6.5" style="7" customWidth="1"/>
    <col min="4" max="4" width="19.1640625" style="8" customWidth="1"/>
    <col min="5" max="5" width="1.6640625" style="1" customWidth="1"/>
    <col min="6" max="6" width="11.1640625" style="1" customWidth="1"/>
    <col min="7" max="7" width="17.5" style="1" customWidth="1"/>
    <col min="8" max="8" width="1.5" style="178" customWidth="1"/>
    <col min="9" max="9" width="9.5" style="36" customWidth="1"/>
    <col min="10" max="10" width="19.83203125" style="4" customWidth="1"/>
    <col min="11" max="11" width="1.5" style="173" customWidth="1"/>
    <col min="12" max="12" width="9.5" style="10" customWidth="1"/>
    <col min="13" max="13" width="16.33203125" style="121" customWidth="1"/>
    <col min="14" max="14" width="1.5" style="181" customWidth="1"/>
    <col min="15" max="15" width="9.5" style="36" customWidth="1"/>
    <col min="16" max="16" width="15.33203125" style="121" customWidth="1"/>
    <col min="17" max="17" width="1.5" style="181" customWidth="1"/>
    <col min="18" max="18" width="9.5" style="36" customWidth="1"/>
    <col min="19" max="19" width="15.83203125" style="121" customWidth="1"/>
    <col min="20" max="20" width="1.6640625" style="111" customWidth="1"/>
    <col min="21" max="21" width="11.5" style="1"/>
    <col min="22" max="22" width="15.33203125" style="1" customWidth="1"/>
    <col min="23" max="23" width="1.5" style="111" customWidth="1"/>
    <col min="24" max="24" width="11.5" style="1"/>
    <col min="25" max="25" width="14.5" style="1" customWidth="1"/>
    <col min="26" max="26" width="1.6640625" style="111" customWidth="1"/>
    <col min="27" max="27" width="11.5" style="1"/>
    <col min="28" max="28" width="17.33203125" style="1" customWidth="1"/>
    <col min="29" max="29" width="1.6640625" style="111" customWidth="1"/>
    <col min="30" max="30" width="11.5" style="1"/>
    <col min="31" max="31" width="17.6640625" style="1" customWidth="1"/>
    <col min="32" max="32" width="12" style="1" bestFit="1" customWidth="1"/>
    <col min="33" max="37" width="11.5" style="1"/>
    <col min="38" max="38" width="32.6640625" style="1" customWidth="1"/>
    <col min="39" max="39" width="19.1640625" style="1" customWidth="1"/>
    <col min="40" max="40" width="18.83203125" style="1" customWidth="1"/>
    <col min="41" max="41" width="21" style="1" customWidth="1"/>
    <col min="42" max="42" width="22.83203125" style="1" customWidth="1"/>
    <col min="43" max="16384" width="11.5" style="1"/>
  </cols>
  <sheetData>
    <row r="1" spans="1:70" ht="30" customHeight="1" thickBot="1">
      <c r="A1" s="55" t="s">
        <v>390</v>
      </c>
      <c r="B1" s="56"/>
      <c r="C1" s="56"/>
      <c r="D1" s="56"/>
      <c r="E1" s="170"/>
      <c r="F1" s="56"/>
      <c r="G1" s="56"/>
      <c r="H1" s="212"/>
      <c r="I1" s="56"/>
      <c r="J1" s="56"/>
      <c r="K1" s="170"/>
      <c r="L1" s="56"/>
      <c r="M1" s="56"/>
      <c r="N1" s="184"/>
      <c r="O1" s="56"/>
      <c r="P1" s="56"/>
      <c r="Q1" s="184"/>
      <c r="R1" s="56"/>
      <c r="S1" s="56"/>
      <c r="T1" s="184"/>
      <c r="U1" s="56"/>
      <c r="V1" s="56"/>
      <c r="W1" s="184"/>
      <c r="X1" s="56"/>
      <c r="Y1" s="56"/>
      <c r="Z1" s="184"/>
      <c r="AA1" s="56"/>
      <c r="AB1" s="56"/>
      <c r="AC1" s="184"/>
      <c r="AD1" s="56"/>
      <c r="AE1" s="56"/>
      <c r="AF1" s="127"/>
    </row>
    <row r="2" spans="1:70" ht="3.75" customHeight="1" thickBot="1">
      <c r="A2" s="59"/>
      <c r="G2" s="60"/>
      <c r="I2" s="358"/>
      <c r="J2" s="359"/>
      <c r="K2" s="171"/>
      <c r="L2" s="358"/>
      <c r="M2" s="359"/>
      <c r="O2" s="358"/>
      <c r="P2" s="359"/>
      <c r="R2" s="358"/>
      <c r="S2" s="359"/>
      <c r="AF2" s="127"/>
    </row>
    <row r="3" spans="1:70" ht="20.25" customHeight="1" thickBot="1">
      <c r="A3" s="44"/>
      <c r="B3" s="45"/>
      <c r="C3" s="45"/>
      <c r="D3" s="45"/>
      <c r="E3" s="111"/>
      <c r="F3" s="362" t="s">
        <v>18</v>
      </c>
      <c r="G3" s="361"/>
      <c r="H3" s="180"/>
      <c r="I3" s="360" t="s">
        <v>17</v>
      </c>
      <c r="J3" s="361"/>
      <c r="K3" s="1"/>
      <c r="L3" s="360" t="s">
        <v>37</v>
      </c>
      <c r="M3" s="361"/>
      <c r="N3" s="111"/>
      <c r="O3" s="360" t="s">
        <v>36</v>
      </c>
      <c r="P3" s="361"/>
      <c r="Q3" s="111"/>
      <c r="R3" s="360" t="s">
        <v>59</v>
      </c>
      <c r="S3" s="361"/>
      <c r="U3" s="360" t="s">
        <v>51</v>
      </c>
      <c r="V3" s="361"/>
      <c r="X3" s="360" t="s">
        <v>236</v>
      </c>
      <c r="Y3" s="361"/>
      <c r="AA3" s="360" t="s">
        <v>52</v>
      </c>
      <c r="AB3" s="361"/>
      <c r="AD3" s="360" t="s">
        <v>38</v>
      </c>
      <c r="AE3" s="362"/>
      <c r="AF3" s="127"/>
    </row>
    <row r="4" spans="1:70" ht="6" customHeight="1">
      <c r="A4" s="61"/>
      <c r="B4" s="2"/>
      <c r="C4" s="2"/>
      <c r="D4" s="2"/>
      <c r="E4" s="111"/>
      <c r="G4" s="208"/>
      <c r="H4" s="179"/>
      <c r="I4" s="2"/>
      <c r="J4" s="28"/>
      <c r="K4" s="2"/>
      <c r="L4" s="2"/>
      <c r="M4" s="28"/>
      <c r="N4" s="182"/>
      <c r="O4" s="2"/>
      <c r="P4" s="28"/>
      <c r="Q4" s="182"/>
      <c r="R4" s="2"/>
      <c r="S4" s="28"/>
      <c r="T4" s="182"/>
      <c r="U4" s="2"/>
      <c r="V4" s="28"/>
      <c r="W4" s="182"/>
      <c r="X4" s="2"/>
      <c r="Y4" s="28"/>
      <c r="Z4" s="182"/>
      <c r="AA4" s="2"/>
      <c r="AB4" s="28"/>
      <c r="AC4" s="182"/>
      <c r="AD4" s="2"/>
      <c r="AE4" s="28"/>
      <c r="AF4" s="127"/>
    </row>
    <row r="5" spans="1:70" s="3" customFormat="1" ht="13">
      <c r="A5" s="62" t="s">
        <v>0</v>
      </c>
      <c r="B5" s="33" t="s">
        <v>1</v>
      </c>
      <c r="C5" s="33" t="s">
        <v>2</v>
      </c>
      <c r="D5" s="103" t="s">
        <v>3</v>
      </c>
      <c r="E5" s="112"/>
      <c r="F5" s="106" t="s">
        <v>389</v>
      </c>
      <c r="G5" s="63" t="s">
        <v>4</v>
      </c>
      <c r="H5" s="213"/>
      <c r="I5" s="106" t="s">
        <v>389</v>
      </c>
      <c r="J5" s="29" t="s">
        <v>4</v>
      </c>
      <c r="K5" s="46"/>
      <c r="L5" s="34" t="s">
        <v>389</v>
      </c>
      <c r="M5" s="120" t="s">
        <v>4</v>
      </c>
      <c r="N5" s="166"/>
      <c r="O5" s="106" t="s">
        <v>389</v>
      </c>
      <c r="P5" s="120" t="s">
        <v>4</v>
      </c>
      <c r="Q5" s="166"/>
      <c r="R5" s="106" t="s">
        <v>389</v>
      </c>
      <c r="S5" s="120" t="s">
        <v>4</v>
      </c>
      <c r="T5" s="166"/>
      <c r="U5" s="106" t="s">
        <v>389</v>
      </c>
      <c r="V5" s="120" t="s">
        <v>4</v>
      </c>
      <c r="W5" s="166"/>
      <c r="X5" s="106" t="s">
        <v>389</v>
      </c>
      <c r="Y5" s="120" t="s">
        <v>4</v>
      </c>
      <c r="Z5" s="166"/>
      <c r="AA5" s="106" t="s">
        <v>389</v>
      </c>
      <c r="AB5" s="120" t="s">
        <v>4</v>
      </c>
      <c r="AC5" s="166"/>
      <c r="AD5" s="106" t="s">
        <v>389</v>
      </c>
      <c r="AE5" s="120" t="s">
        <v>4</v>
      </c>
      <c r="AF5" s="128"/>
    </row>
    <row r="6" spans="1:70">
      <c r="A6" s="64"/>
      <c r="B6" s="78" t="s">
        <v>41</v>
      </c>
      <c r="D6" s="9"/>
      <c r="E6" s="111"/>
      <c r="F6" s="107"/>
      <c r="G6" s="65"/>
      <c r="H6" s="209"/>
      <c r="I6" s="107"/>
      <c r="K6" s="47"/>
      <c r="L6" s="5"/>
      <c r="N6" s="47"/>
      <c r="O6" s="107"/>
      <c r="Q6" s="47"/>
      <c r="R6" s="107"/>
      <c r="T6" s="47"/>
      <c r="U6" s="107"/>
      <c r="V6" s="121"/>
      <c r="W6" s="47"/>
      <c r="X6" s="107"/>
      <c r="Y6" s="121"/>
      <c r="Z6" s="47"/>
      <c r="AA6" s="107"/>
      <c r="AB6" s="121"/>
      <c r="AC6" s="47"/>
      <c r="AD6" s="107"/>
      <c r="AE6" s="121"/>
      <c r="AF6" s="127"/>
    </row>
    <row r="7" spans="1:70" ht="13" thickBot="1">
      <c r="A7" s="66"/>
      <c r="B7" s="20"/>
      <c r="C7" s="21"/>
      <c r="D7" s="104"/>
      <c r="E7" s="111"/>
      <c r="F7" s="108"/>
      <c r="G7" s="67"/>
      <c r="H7" s="209"/>
      <c r="I7" s="108"/>
      <c r="J7" s="23"/>
      <c r="K7" s="47"/>
      <c r="L7" s="22"/>
      <c r="M7" s="122"/>
      <c r="N7" s="47"/>
      <c r="O7" s="108"/>
      <c r="P7" s="122"/>
      <c r="Q7" s="47"/>
      <c r="R7" s="108"/>
      <c r="S7" s="122"/>
      <c r="T7" s="47"/>
      <c r="U7" s="108"/>
      <c r="V7" s="122"/>
      <c r="W7" s="47"/>
      <c r="X7" s="108"/>
      <c r="Y7" s="122"/>
      <c r="Z7" s="47"/>
      <c r="AA7" s="108"/>
      <c r="AB7" s="122"/>
      <c r="AC7" s="47"/>
      <c r="AD7" s="108"/>
      <c r="AE7" s="122"/>
      <c r="AF7" s="127"/>
    </row>
    <row r="8" spans="1:70" s="26" customFormat="1" ht="16.5" customHeight="1" thickBot="1">
      <c r="A8" s="349" t="s">
        <v>10</v>
      </c>
      <c r="B8" s="350"/>
      <c r="C8" s="350"/>
      <c r="D8" s="351"/>
      <c r="E8" s="1"/>
      <c r="F8" s="53" t="s">
        <v>19</v>
      </c>
      <c r="G8" s="30">
        <f>SUM(G9:G14)</f>
        <v>0</v>
      </c>
      <c r="H8" s="1"/>
      <c r="I8" s="53" t="s">
        <v>8</v>
      </c>
      <c r="J8" s="30">
        <f>SUM(J9+J10+J11+J12+J13+J14)</f>
        <v>0</v>
      </c>
      <c r="K8" s="1"/>
      <c r="L8" s="53" t="s">
        <v>8</v>
      </c>
      <c r="M8" s="138">
        <f>SUM(M9+M10+M11+M12+M13+M14)</f>
        <v>0</v>
      </c>
      <c r="N8" s="111"/>
      <c r="O8" s="109" t="s">
        <v>8</v>
      </c>
      <c r="P8" s="99">
        <f>SUM(P9+P10+P11+P12+P13+P14)</f>
        <v>0</v>
      </c>
      <c r="Q8" s="111"/>
      <c r="R8" s="109" t="s">
        <v>8</v>
      </c>
      <c r="S8" s="99">
        <f>SUM(S9+S10+S11+S12+S13+S14)</f>
        <v>0</v>
      </c>
      <c r="T8" s="111"/>
      <c r="U8" s="109" t="s">
        <v>8</v>
      </c>
      <c r="V8" s="99">
        <f>SUM(V9+V10+V11+V12+V13+V14)</f>
        <v>0</v>
      </c>
      <c r="W8" s="111"/>
      <c r="X8" s="109" t="s">
        <v>8</v>
      </c>
      <c r="Y8" s="99">
        <f>SUM(Y9+Y10+Y11+Y12+Y13+Y14)</f>
        <v>0</v>
      </c>
      <c r="Z8" s="111"/>
      <c r="AA8" s="109" t="s">
        <v>8</v>
      </c>
      <c r="AB8" s="99">
        <f>SUM(AB9+AB10+AB11+AB12+AB13+AB14)</f>
        <v>0</v>
      </c>
      <c r="AC8" s="111"/>
      <c r="AD8" s="109" t="s">
        <v>8</v>
      </c>
      <c r="AE8" s="99">
        <f>SUM(AE9+AE10+AE11+AE12+AE13+AE14)</f>
        <v>0</v>
      </c>
      <c r="AF8" s="127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</row>
    <row r="9" spans="1:70" ht="26.5" customHeight="1">
      <c r="A9" s="199" t="s">
        <v>65</v>
      </c>
      <c r="B9" s="200" t="s">
        <v>11</v>
      </c>
      <c r="C9" s="24" t="s">
        <v>12</v>
      </c>
      <c r="D9" s="201"/>
      <c r="E9" s="111"/>
      <c r="F9" s="110">
        <v>1</v>
      </c>
      <c r="G9" s="206">
        <f t="shared" ref="G9:G14" si="0">D9*F9</f>
        <v>0</v>
      </c>
      <c r="H9" s="209"/>
      <c r="I9" s="143"/>
      <c r="J9" s="102"/>
      <c r="K9" s="47"/>
      <c r="L9" s="87"/>
      <c r="M9" s="116"/>
      <c r="N9" s="47"/>
      <c r="O9" s="143"/>
      <c r="P9" s="116"/>
      <c r="Q9" s="47"/>
      <c r="R9" s="143"/>
      <c r="S9" s="116"/>
      <c r="T9" s="47"/>
      <c r="U9" s="143"/>
      <c r="V9" s="116"/>
      <c r="W9" s="47"/>
      <c r="X9" s="143"/>
      <c r="Y9" s="116"/>
      <c r="Z9" s="47"/>
      <c r="AA9" s="143"/>
      <c r="AB9" s="116"/>
      <c r="AC9" s="47"/>
      <c r="AD9" s="143"/>
      <c r="AE9" s="116"/>
      <c r="AF9" s="127"/>
    </row>
    <row r="10" spans="1:70" ht="15.75" customHeight="1">
      <c r="A10" s="199" t="s">
        <v>66</v>
      </c>
      <c r="B10" s="92" t="s">
        <v>13</v>
      </c>
      <c r="C10" s="12" t="s">
        <v>12</v>
      </c>
      <c r="D10" s="105"/>
      <c r="E10" s="111"/>
      <c r="F10" s="110">
        <v>1</v>
      </c>
      <c r="G10" s="42">
        <f t="shared" si="0"/>
        <v>0</v>
      </c>
      <c r="H10" s="209"/>
      <c r="I10" s="143"/>
      <c r="J10" s="102"/>
      <c r="K10" s="47"/>
      <c r="L10" s="87"/>
      <c r="M10" s="116"/>
      <c r="N10" s="47"/>
      <c r="O10" s="143"/>
      <c r="P10" s="116"/>
      <c r="Q10" s="47"/>
      <c r="R10" s="143"/>
      <c r="S10" s="116"/>
      <c r="T10" s="47"/>
      <c r="U10" s="143"/>
      <c r="V10" s="116"/>
      <c r="W10" s="47"/>
      <c r="X10" s="143"/>
      <c r="Y10" s="116"/>
      <c r="Z10" s="47"/>
      <c r="AA10" s="143"/>
      <c r="AB10" s="116"/>
      <c r="AC10" s="47"/>
      <c r="AD10" s="143"/>
      <c r="AE10" s="116"/>
      <c r="AF10" s="127"/>
    </row>
    <row r="11" spans="1:70" s="6" customFormat="1" ht="14" thickBot="1">
      <c r="A11" s="199" t="s">
        <v>67</v>
      </c>
      <c r="B11" s="92" t="s">
        <v>14</v>
      </c>
      <c r="C11" s="12" t="s">
        <v>12</v>
      </c>
      <c r="D11" s="105"/>
      <c r="E11" s="111"/>
      <c r="F11" s="110">
        <v>1</v>
      </c>
      <c r="G11" s="42">
        <f t="shared" si="0"/>
        <v>0</v>
      </c>
      <c r="H11" s="209"/>
      <c r="I11" s="143"/>
      <c r="J11" s="102"/>
      <c r="K11" s="47"/>
      <c r="L11" s="87"/>
      <c r="M11" s="116"/>
      <c r="N11" s="47"/>
      <c r="O11" s="143"/>
      <c r="P11" s="116"/>
      <c r="Q11" s="47"/>
      <c r="R11" s="143"/>
      <c r="S11" s="116"/>
      <c r="T11" s="47"/>
      <c r="U11" s="143"/>
      <c r="V11" s="116"/>
      <c r="W11" s="47"/>
      <c r="X11" s="143"/>
      <c r="Y11" s="116"/>
      <c r="Z11" s="47"/>
      <c r="AA11" s="143"/>
      <c r="AB11" s="116"/>
      <c r="AC11" s="47"/>
      <c r="AD11" s="143"/>
      <c r="AE11" s="116"/>
      <c r="AF11" s="129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</row>
    <row r="12" spans="1:70" s="26" customFormat="1" ht="16.5" customHeight="1" thickBot="1">
      <c r="A12" s="199" t="s">
        <v>68</v>
      </c>
      <c r="B12" s="92" t="s">
        <v>15</v>
      </c>
      <c r="C12" s="12" t="s">
        <v>12</v>
      </c>
      <c r="D12" s="105"/>
      <c r="E12" s="111"/>
      <c r="F12" s="110">
        <v>1</v>
      </c>
      <c r="G12" s="42">
        <f t="shared" si="0"/>
        <v>0</v>
      </c>
      <c r="H12" s="209"/>
      <c r="I12" s="143"/>
      <c r="J12" s="102"/>
      <c r="K12" s="47"/>
      <c r="L12" s="87"/>
      <c r="M12" s="116"/>
      <c r="N12" s="47"/>
      <c r="O12" s="143"/>
      <c r="P12" s="116"/>
      <c r="Q12" s="47"/>
      <c r="R12" s="143"/>
      <c r="S12" s="116"/>
      <c r="T12" s="47"/>
      <c r="U12" s="143"/>
      <c r="V12" s="116"/>
      <c r="W12" s="47"/>
      <c r="X12" s="143"/>
      <c r="Y12" s="116"/>
      <c r="Z12" s="47"/>
      <c r="AA12" s="143"/>
      <c r="AB12" s="116"/>
      <c r="AC12" s="47"/>
      <c r="AD12" s="143"/>
      <c r="AE12" s="116"/>
      <c r="AF12" s="12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</row>
    <row r="13" spans="1:70" ht="16.5" customHeight="1">
      <c r="A13" s="199" t="s">
        <v>69</v>
      </c>
      <c r="B13" s="92" t="s">
        <v>35</v>
      </c>
      <c r="C13" s="12" t="s">
        <v>12</v>
      </c>
      <c r="D13" s="105"/>
      <c r="E13" s="111"/>
      <c r="F13" s="110">
        <v>1</v>
      </c>
      <c r="G13" s="42">
        <f t="shared" si="0"/>
        <v>0</v>
      </c>
      <c r="H13" s="209"/>
      <c r="I13" s="143"/>
      <c r="J13" s="102"/>
      <c r="K13" s="47"/>
      <c r="L13" s="87"/>
      <c r="M13" s="116"/>
      <c r="N13" s="47"/>
      <c r="O13" s="143"/>
      <c r="P13" s="116"/>
      <c r="Q13" s="47"/>
      <c r="R13" s="143"/>
      <c r="S13" s="116"/>
      <c r="T13" s="47"/>
      <c r="U13" s="143"/>
      <c r="V13" s="116"/>
      <c r="W13" s="47"/>
      <c r="X13" s="143"/>
      <c r="Y13" s="116"/>
      <c r="Z13" s="47"/>
      <c r="AA13" s="143"/>
      <c r="AB13" s="116"/>
      <c r="AC13" s="47"/>
      <c r="AD13" s="143"/>
      <c r="AE13" s="116"/>
      <c r="AF13" s="127"/>
    </row>
    <row r="14" spans="1:70" ht="15.75" customHeight="1">
      <c r="A14" s="199" t="s">
        <v>70</v>
      </c>
      <c r="B14" s="113" t="s">
        <v>16</v>
      </c>
      <c r="C14" s="21" t="s">
        <v>12</v>
      </c>
      <c r="D14" s="104"/>
      <c r="E14" s="111"/>
      <c r="F14" s="110">
        <v>1</v>
      </c>
      <c r="G14" s="42">
        <f t="shared" si="0"/>
        <v>0</v>
      </c>
      <c r="H14" s="209"/>
      <c r="I14" s="87"/>
      <c r="J14" s="118"/>
      <c r="K14" s="47"/>
      <c r="L14" s="85"/>
      <c r="M14" s="119"/>
      <c r="N14" s="47"/>
      <c r="O14" s="144"/>
      <c r="P14" s="119"/>
      <c r="Q14" s="47"/>
      <c r="R14" s="144"/>
      <c r="S14" s="119"/>
      <c r="T14" s="47"/>
      <c r="U14" s="144"/>
      <c r="V14" s="119"/>
      <c r="W14" s="47"/>
      <c r="X14" s="144"/>
      <c r="Y14" s="119"/>
      <c r="Z14" s="47"/>
      <c r="AA14" s="144"/>
      <c r="AB14" s="119"/>
      <c r="AC14" s="47"/>
      <c r="AD14" s="144"/>
      <c r="AE14" s="119"/>
      <c r="AF14" s="127"/>
    </row>
    <row r="15" spans="1:70" ht="15.75" customHeight="1" thickBot="1">
      <c r="A15" s="130"/>
      <c r="B15" s="131"/>
      <c r="C15" s="132"/>
      <c r="D15" s="133"/>
      <c r="F15" s="202"/>
      <c r="G15" s="203"/>
      <c r="H15" s="163"/>
      <c r="I15" s="222"/>
      <c r="J15" s="205"/>
      <c r="K15" s="114"/>
      <c r="L15" s="204"/>
      <c r="M15" s="205"/>
      <c r="N15" s="47"/>
      <c r="O15" s="204"/>
      <c r="P15" s="203"/>
      <c r="Q15" s="47"/>
      <c r="R15" s="204"/>
      <c r="S15" s="205"/>
      <c r="T15" s="47"/>
      <c r="U15" s="204"/>
      <c r="V15" s="205"/>
      <c r="W15" s="47"/>
      <c r="X15" s="204"/>
      <c r="Y15" s="205"/>
      <c r="Z15" s="47"/>
      <c r="AA15" s="204"/>
      <c r="AB15" s="203"/>
      <c r="AC15" s="47"/>
      <c r="AD15" s="204"/>
      <c r="AE15" s="203"/>
      <c r="AF15" s="127"/>
    </row>
    <row r="16" spans="1:70" ht="17" thickBot="1">
      <c r="A16" s="349" t="s">
        <v>284</v>
      </c>
      <c r="B16" s="350"/>
      <c r="C16" s="350"/>
      <c r="D16" s="351"/>
      <c r="F16" s="53" t="s">
        <v>20</v>
      </c>
      <c r="G16" s="30">
        <f>SUM(+G33+G17)</f>
        <v>0</v>
      </c>
      <c r="H16" s="164"/>
      <c r="I16" s="53" t="s">
        <v>8</v>
      </c>
      <c r="J16" s="30">
        <f>SUM(J17+J33)</f>
        <v>0</v>
      </c>
      <c r="K16" s="52"/>
      <c r="L16" s="255" t="s">
        <v>8</v>
      </c>
      <c r="M16" s="50">
        <f>SUM(M33+M17)</f>
        <v>0</v>
      </c>
      <c r="N16" s="164"/>
      <c r="O16" s="53" t="s">
        <v>8</v>
      </c>
      <c r="P16" s="30">
        <f>SUM(+P33+P17)</f>
        <v>0</v>
      </c>
      <c r="Q16" s="164"/>
      <c r="R16" s="53" t="s">
        <v>8</v>
      </c>
      <c r="S16" s="30">
        <f>SUM(+S33+S17)</f>
        <v>0</v>
      </c>
      <c r="T16" s="164"/>
      <c r="U16" s="53" t="s">
        <v>8</v>
      </c>
      <c r="V16" s="30">
        <f>SUM(+V33+V17)</f>
        <v>0</v>
      </c>
      <c r="W16" s="164"/>
      <c r="X16" s="53" t="s">
        <v>8</v>
      </c>
      <c r="Y16" s="30">
        <f>SUM(+Y33+Y17)</f>
        <v>0</v>
      </c>
      <c r="Z16" s="164"/>
      <c r="AA16" s="53" t="s">
        <v>8</v>
      </c>
      <c r="AB16" s="30">
        <f>SUM(+AB33+AB17)</f>
        <v>0</v>
      </c>
      <c r="AC16" s="164"/>
      <c r="AD16" s="53" t="s">
        <v>8</v>
      </c>
      <c r="AE16" s="30">
        <f>SUM(AE17+AE33)</f>
        <v>0</v>
      </c>
    </row>
    <row r="17" spans="1:70" ht="16" customHeight="1">
      <c r="A17" s="367" t="s">
        <v>194</v>
      </c>
      <c r="B17" s="367"/>
      <c r="C17" s="367"/>
      <c r="D17" s="367"/>
      <c r="F17" s="300" t="s">
        <v>8</v>
      </c>
      <c r="G17" s="301">
        <f>SUM(G18:G32)</f>
        <v>0</v>
      </c>
      <c r="H17" s="164"/>
      <c r="I17" s="300" t="s">
        <v>8</v>
      </c>
      <c r="J17" s="301">
        <f>SUM(J18:J32)</f>
        <v>0</v>
      </c>
      <c r="K17" s="164"/>
      <c r="L17" s="300" t="s">
        <v>8</v>
      </c>
      <c r="M17" s="301">
        <f>SUM(M18:M32)</f>
        <v>0</v>
      </c>
      <c r="N17" s="167"/>
      <c r="O17" s="300" t="s">
        <v>8</v>
      </c>
      <c r="P17" s="301">
        <f>SUM(P18:P30)</f>
        <v>0</v>
      </c>
      <c r="Q17" s="167"/>
      <c r="R17" s="300" t="s">
        <v>8</v>
      </c>
      <c r="S17" s="301">
        <f>SUM(S18:S32)</f>
        <v>0</v>
      </c>
      <c r="T17" s="167"/>
      <c r="U17" s="300" t="s">
        <v>8</v>
      </c>
      <c r="V17" s="301">
        <f>SUM(V18:V199)</f>
        <v>0</v>
      </c>
      <c r="W17" s="167"/>
      <c r="X17" s="300" t="s">
        <v>8</v>
      </c>
      <c r="Y17" s="301">
        <f>SUM(Y18:Y32)</f>
        <v>0</v>
      </c>
      <c r="Z17" s="167"/>
      <c r="AA17" s="300" t="s">
        <v>8</v>
      </c>
      <c r="AB17" s="301">
        <f>SUM(AB18:AB32)</f>
        <v>0</v>
      </c>
      <c r="AC17" s="167"/>
      <c r="AD17" s="300" t="s">
        <v>8</v>
      </c>
      <c r="AE17" s="301">
        <f>SUM(AE18:AE32)</f>
        <v>0</v>
      </c>
    </row>
    <row r="18" spans="1:70" ht="13">
      <c r="A18" s="94" t="s">
        <v>71</v>
      </c>
      <c r="B18" s="39" t="s">
        <v>34</v>
      </c>
      <c r="C18" s="24" t="s">
        <v>12</v>
      </c>
      <c r="D18" s="40"/>
      <c r="F18" s="284">
        <v>1</v>
      </c>
      <c r="G18" s="25">
        <f>F18*D18</f>
        <v>0</v>
      </c>
      <c r="H18" s="207"/>
      <c r="I18" s="145"/>
      <c r="J18" s="115"/>
      <c r="K18" s="172"/>
      <c r="L18" s="86"/>
      <c r="M18" s="139"/>
      <c r="N18" s="172"/>
      <c r="O18" s="145"/>
      <c r="P18" s="139"/>
      <c r="Q18" s="172"/>
      <c r="R18" s="145"/>
      <c r="S18" s="139"/>
      <c r="T18" s="172"/>
      <c r="U18" s="145"/>
      <c r="V18" s="139"/>
      <c r="W18" s="172"/>
      <c r="X18" s="145"/>
      <c r="Y18" s="139"/>
      <c r="Z18" s="172"/>
      <c r="AA18" s="145"/>
      <c r="AB18" s="139"/>
      <c r="AC18" s="172"/>
      <c r="AD18" s="145"/>
      <c r="AE18" s="139"/>
      <c r="AF18" s="127"/>
    </row>
    <row r="19" spans="1:70" ht="13" customHeight="1">
      <c r="A19" s="94" t="s">
        <v>72</v>
      </c>
      <c r="B19" s="39" t="s">
        <v>39</v>
      </c>
      <c r="C19" s="24" t="s">
        <v>12</v>
      </c>
      <c r="D19" s="40"/>
      <c r="F19" s="14">
        <v>1</v>
      </c>
      <c r="G19" s="42">
        <f>F19*D19</f>
        <v>0</v>
      </c>
      <c r="H19" s="207"/>
      <c r="I19" s="145"/>
      <c r="J19" s="115"/>
      <c r="K19" s="172"/>
      <c r="L19" s="86"/>
      <c r="M19" s="139"/>
      <c r="N19" s="172"/>
      <c r="O19" s="145"/>
      <c r="P19" s="139"/>
      <c r="Q19" s="172"/>
      <c r="R19" s="145"/>
      <c r="S19" s="139"/>
      <c r="T19" s="172"/>
      <c r="U19" s="145"/>
      <c r="V19" s="139"/>
      <c r="W19" s="172"/>
      <c r="X19" s="145"/>
      <c r="Y19" s="139"/>
      <c r="Z19" s="172"/>
      <c r="AA19" s="145"/>
      <c r="AB19" s="116"/>
      <c r="AC19" s="172"/>
      <c r="AD19" s="145"/>
      <c r="AE19" s="116"/>
      <c r="AF19" s="127"/>
      <c r="AL19" s="339"/>
      <c r="AM19" s="339"/>
      <c r="AN19" s="339"/>
      <c r="AO19" s="339"/>
      <c r="AP19" s="339"/>
      <c r="AQ19"/>
    </row>
    <row r="20" spans="1:70" ht="13">
      <c r="A20" s="94" t="s">
        <v>73</v>
      </c>
      <c r="B20" s="39" t="s">
        <v>367</v>
      </c>
      <c r="C20" s="38" t="s">
        <v>28</v>
      </c>
      <c r="D20" s="40"/>
      <c r="F20" s="14">
        <f>I20+L20+O20+U20+R20+X20+AA20+AD20+AD20</f>
        <v>94.5</v>
      </c>
      <c r="G20" s="42">
        <f>P20+S20+V20+Y20</f>
        <v>0</v>
      </c>
      <c r="H20" s="207"/>
      <c r="I20" s="145"/>
      <c r="J20" s="115"/>
      <c r="K20" s="172"/>
      <c r="L20" s="86"/>
      <c r="M20" s="139"/>
      <c r="N20" s="172"/>
      <c r="O20" s="146">
        <f>0.5*32</f>
        <v>16</v>
      </c>
      <c r="P20" s="123">
        <f>O20*D20</f>
        <v>0</v>
      </c>
      <c r="Q20" s="172"/>
      <c r="R20" s="146">
        <f>0.5*50</f>
        <v>25</v>
      </c>
      <c r="S20" s="123">
        <f>R20*D20</f>
        <v>0</v>
      </c>
      <c r="T20" s="172"/>
      <c r="U20" s="146">
        <f>0.5*U39</f>
        <v>33.5</v>
      </c>
      <c r="V20" s="123">
        <f>U20*D20</f>
        <v>0</v>
      </c>
      <c r="W20" s="172"/>
      <c r="X20" s="146">
        <f>0.5*X39</f>
        <v>20</v>
      </c>
      <c r="Y20" s="123">
        <f>X20*D20</f>
        <v>0</v>
      </c>
      <c r="Z20" s="172"/>
      <c r="AA20" s="194"/>
      <c r="AB20" s="116"/>
      <c r="AC20" s="172"/>
      <c r="AD20" s="145"/>
      <c r="AE20" s="116"/>
      <c r="AF20" s="127"/>
      <c r="AL20"/>
      <c r="AM20" s="340"/>
      <c r="AN20" s="340"/>
      <c r="AO20" s="340"/>
      <c r="AP20" s="340"/>
      <c r="AQ20"/>
    </row>
    <row r="21" spans="1:70" ht="13">
      <c r="A21" s="94" t="s">
        <v>74</v>
      </c>
      <c r="B21" s="39" t="s">
        <v>366</v>
      </c>
      <c r="C21" s="24" t="s">
        <v>28</v>
      </c>
      <c r="D21" s="40"/>
      <c r="F21" s="14">
        <f t="shared" ref="F21:F31" si="1">SUM(+I21+L21+O21+R21+U21+X21+AA21+AD21)</f>
        <v>190.5</v>
      </c>
      <c r="G21" s="42">
        <f>J21+M21+P21+S21+V21+Y21+AB21++AE21</f>
        <v>0</v>
      </c>
      <c r="H21" s="207"/>
      <c r="I21" s="174">
        <f>(I39)*0.3</f>
        <v>35.699999999999996</v>
      </c>
      <c r="J21" s="25">
        <f>I21*D21</f>
        <v>0</v>
      </c>
      <c r="K21" s="172"/>
      <c r="L21" s="38">
        <f>0.3*L39</f>
        <v>57.3</v>
      </c>
      <c r="M21" s="123">
        <f>L21*D21</f>
        <v>0</v>
      </c>
      <c r="N21" s="172"/>
      <c r="O21" s="146">
        <f>0.3*95</f>
        <v>28.5</v>
      </c>
      <c r="P21" s="123">
        <f>O21*D21</f>
        <v>0</v>
      </c>
      <c r="Q21" s="172"/>
      <c r="R21" s="146">
        <f>0.3*30</f>
        <v>9</v>
      </c>
      <c r="S21" s="123">
        <f>R21*D21</f>
        <v>0</v>
      </c>
      <c r="T21" s="172"/>
      <c r="U21" s="145"/>
      <c r="V21" s="139"/>
      <c r="W21" s="172"/>
      <c r="X21" s="145"/>
      <c r="Y21" s="139"/>
      <c r="Z21" s="172"/>
      <c r="AA21" s="149">
        <f>0.3*AA39</f>
        <v>45</v>
      </c>
      <c r="AB21" s="196">
        <f>AA21*D21</f>
        <v>0</v>
      </c>
      <c r="AC21" s="172"/>
      <c r="AD21" s="146">
        <f>0.3*AD39</f>
        <v>15</v>
      </c>
      <c r="AE21" s="98">
        <f>AD21*D21</f>
        <v>0</v>
      </c>
      <c r="AF21" s="127"/>
      <c r="AL21"/>
      <c r="AM21" s="340"/>
      <c r="AN21" s="340"/>
      <c r="AO21" s="340"/>
      <c r="AP21" s="340"/>
      <c r="AQ21"/>
    </row>
    <row r="22" spans="1:70" ht="13">
      <c r="A22" s="94" t="s">
        <v>75</v>
      </c>
      <c r="B22" s="39" t="s">
        <v>387</v>
      </c>
      <c r="C22" s="24" t="s">
        <v>28</v>
      </c>
      <c r="D22" s="40"/>
      <c r="F22" s="14">
        <f>(F186+F185)*0.1</f>
        <v>240</v>
      </c>
      <c r="G22" s="42">
        <f>F22*D22</f>
        <v>0</v>
      </c>
      <c r="H22" s="207"/>
      <c r="I22" s="174"/>
      <c r="J22" s="25"/>
      <c r="K22" s="172"/>
      <c r="L22" s="38"/>
      <c r="M22" s="123"/>
      <c r="N22" s="172"/>
      <c r="O22" s="146"/>
      <c r="P22" s="123"/>
      <c r="Q22" s="172"/>
      <c r="R22" s="146"/>
      <c r="S22" s="123"/>
      <c r="T22" s="172"/>
      <c r="U22" s="145"/>
      <c r="V22" s="139"/>
      <c r="W22" s="172"/>
      <c r="X22" s="145"/>
      <c r="Y22" s="139"/>
      <c r="Z22" s="172"/>
      <c r="AA22" s="146"/>
      <c r="AB22" s="196"/>
      <c r="AC22" s="172"/>
      <c r="AD22" s="146"/>
      <c r="AE22" s="98"/>
      <c r="AF22" s="127"/>
      <c r="AL22"/>
      <c r="AM22" s="340"/>
      <c r="AN22" s="340"/>
      <c r="AO22" s="340"/>
      <c r="AP22" s="340"/>
      <c r="AQ22"/>
    </row>
    <row r="23" spans="1:70" ht="13" customHeight="1">
      <c r="A23" s="94" t="s">
        <v>76</v>
      </c>
      <c r="B23" s="39" t="s">
        <v>368</v>
      </c>
      <c r="C23" s="24" t="s">
        <v>28</v>
      </c>
      <c r="D23" s="40"/>
      <c r="F23" s="17">
        <f>589+603</f>
        <v>1192</v>
      </c>
      <c r="G23" s="42">
        <f>F23*D23</f>
        <v>0</v>
      </c>
      <c r="H23" s="207"/>
      <c r="I23" s="326"/>
      <c r="J23" s="115"/>
      <c r="K23" s="172"/>
      <c r="L23" s="86"/>
      <c r="M23" s="139"/>
      <c r="N23" s="172"/>
      <c r="O23" s="145"/>
      <c r="P23" s="139"/>
      <c r="Q23" s="172"/>
      <c r="R23" s="145"/>
      <c r="S23" s="139"/>
      <c r="T23" s="172"/>
      <c r="U23" s="145"/>
      <c r="V23" s="139"/>
      <c r="W23" s="172"/>
      <c r="X23" s="145"/>
      <c r="Y23" s="139"/>
      <c r="Z23" s="172"/>
      <c r="AA23" s="145"/>
      <c r="AB23" s="327"/>
      <c r="AC23" s="172"/>
      <c r="AD23" s="145"/>
      <c r="AE23" s="116"/>
      <c r="AF23" s="127"/>
      <c r="AL23"/>
      <c r="AM23" s="340"/>
      <c r="AN23" s="340"/>
      <c r="AO23" s="340"/>
      <c r="AP23" s="340"/>
      <c r="AQ23"/>
    </row>
    <row r="24" spans="1:70" ht="13" customHeight="1">
      <c r="A24" s="94" t="s">
        <v>77</v>
      </c>
      <c r="B24" s="39" t="s">
        <v>384</v>
      </c>
      <c r="C24" s="15" t="s">
        <v>28</v>
      </c>
      <c r="D24" s="40"/>
      <c r="F24" s="14">
        <v>400</v>
      </c>
      <c r="G24" s="77">
        <f t="shared" ref="G24:G30" si="2">D24*F24</f>
        <v>0</v>
      </c>
      <c r="H24" s="207"/>
      <c r="I24" s="145"/>
      <c r="J24" s="115"/>
      <c r="K24" s="172"/>
      <c r="L24" s="86"/>
      <c r="M24" s="139"/>
      <c r="N24" s="172"/>
      <c r="O24" s="145"/>
      <c r="P24" s="139"/>
      <c r="Q24" s="172"/>
      <c r="R24" s="145"/>
      <c r="S24" s="139"/>
      <c r="T24" s="172"/>
      <c r="U24" s="145"/>
      <c r="V24" s="139"/>
      <c r="W24" s="172"/>
      <c r="X24" s="145"/>
      <c r="Y24" s="139"/>
      <c r="Z24" s="172"/>
      <c r="AA24" s="145"/>
      <c r="AB24" s="116"/>
      <c r="AC24" s="172"/>
      <c r="AD24" s="145"/>
      <c r="AE24" s="116"/>
      <c r="AF24" s="127"/>
      <c r="AL24"/>
      <c r="AM24" s="340"/>
      <c r="AN24" s="340"/>
      <c r="AO24" s="340"/>
      <c r="AP24" s="340"/>
      <c r="AQ24"/>
    </row>
    <row r="25" spans="1:70" ht="13">
      <c r="A25" s="94" t="s">
        <v>78</v>
      </c>
      <c r="B25" s="39" t="s">
        <v>374</v>
      </c>
      <c r="C25" s="15" t="s">
        <v>5</v>
      </c>
      <c r="D25" s="40"/>
      <c r="F25" s="14">
        <v>12000</v>
      </c>
      <c r="G25" s="42">
        <f t="shared" si="2"/>
        <v>0</v>
      </c>
      <c r="H25" s="207"/>
      <c r="I25" s="143"/>
      <c r="J25" s="115"/>
      <c r="K25" s="172"/>
      <c r="L25" s="321"/>
      <c r="M25" s="139"/>
      <c r="N25" s="172"/>
      <c r="O25" s="143"/>
      <c r="P25" s="139"/>
      <c r="Q25" s="172"/>
      <c r="R25" s="143"/>
      <c r="S25" s="139"/>
      <c r="T25" s="172"/>
      <c r="U25" s="143"/>
      <c r="V25" s="139"/>
      <c r="W25" s="172"/>
      <c r="X25" s="143"/>
      <c r="Y25" s="320"/>
      <c r="Z25" s="172"/>
      <c r="AA25" s="143"/>
      <c r="AB25" s="116"/>
      <c r="AC25" s="172"/>
      <c r="AD25" s="143"/>
      <c r="AE25" s="116"/>
      <c r="AF25" s="127"/>
      <c r="AL25"/>
      <c r="AM25" s="340"/>
      <c r="AN25" s="340"/>
      <c r="AO25" s="340"/>
      <c r="AP25" s="340"/>
      <c r="AQ25"/>
    </row>
    <row r="26" spans="1:70" ht="14" customHeight="1">
      <c r="A26" s="94" t="s">
        <v>79</v>
      </c>
      <c r="B26" s="39" t="s">
        <v>195</v>
      </c>
      <c r="C26" s="15" t="s">
        <v>198</v>
      </c>
      <c r="D26" s="40"/>
      <c r="F26" s="17">
        <f>SUM(+I26+L26+O26+R26+U26+X26+AA26+AD26)</f>
        <v>145</v>
      </c>
      <c r="G26" s="77">
        <f>F26*D26</f>
        <v>0</v>
      </c>
      <c r="H26" s="207"/>
      <c r="I26" s="147">
        <f>I44+SUM(I46:I67)</f>
        <v>27</v>
      </c>
      <c r="J26" s="25">
        <f>I26*D26</f>
        <v>0</v>
      </c>
      <c r="K26" s="172"/>
      <c r="L26" s="147">
        <f>L44+SUM(L46:L67)</f>
        <v>13</v>
      </c>
      <c r="M26" s="123">
        <f>L26*D26</f>
        <v>0</v>
      </c>
      <c r="N26" s="172"/>
      <c r="O26" s="147">
        <f>O44+SUM(O46:O67)</f>
        <v>3</v>
      </c>
      <c r="P26" s="123">
        <f>O26*D26</f>
        <v>0</v>
      </c>
      <c r="Q26" s="172"/>
      <c r="R26" s="147">
        <f>R44+SUM(R46:R67)</f>
        <v>4</v>
      </c>
      <c r="S26" s="123">
        <f>R26*D26</f>
        <v>0</v>
      </c>
      <c r="T26" s="172"/>
      <c r="U26" s="147">
        <f>U44+SUM(U46:U67)</f>
        <v>2</v>
      </c>
      <c r="V26" s="123">
        <f>U26*D26</f>
        <v>0</v>
      </c>
      <c r="W26" s="172"/>
      <c r="X26" s="147">
        <f>SUM(X46:X67)</f>
        <v>1</v>
      </c>
      <c r="Y26" s="192">
        <f>X26*D26</f>
        <v>0</v>
      </c>
      <c r="Z26" s="172"/>
      <c r="AA26" s="147">
        <f>SUM(AA46:AA67)</f>
        <v>64</v>
      </c>
      <c r="AB26" s="100">
        <f>AA26*D26</f>
        <v>0</v>
      </c>
      <c r="AC26" s="172"/>
      <c r="AD26" s="147">
        <f>SUM(AD46:AD67)</f>
        <v>31</v>
      </c>
      <c r="AE26" s="98">
        <f>AD26*D26</f>
        <v>0</v>
      </c>
      <c r="AF26" s="127"/>
      <c r="AL26"/>
      <c r="AM26" s="340"/>
      <c r="AN26" s="340"/>
      <c r="AO26" s="341"/>
      <c r="AP26" s="340"/>
      <c r="AQ26"/>
    </row>
    <row r="27" spans="1:70" ht="13">
      <c r="A27" s="94" t="s">
        <v>80</v>
      </c>
      <c r="B27" s="39" t="s">
        <v>196</v>
      </c>
      <c r="C27" s="15" t="s">
        <v>198</v>
      </c>
      <c r="D27" s="40"/>
      <c r="F27" s="17">
        <f t="shared" si="1"/>
        <v>106.1</v>
      </c>
      <c r="G27" s="77">
        <f>F27*D27</f>
        <v>0</v>
      </c>
      <c r="H27" s="207"/>
      <c r="I27" s="147">
        <f>(I37+I38)*0.1</f>
        <v>31.1</v>
      </c>
      <c r="J27" s="25">
        <f>I27*D27</f>
        <v>0</v>
      </c>
      <c r="K27" s="172"/>
      <c r="L27" s="51">
        <f>L37*0.1</f>
        <v>5.7</v>
      </c>
      <c r="M27" s="123">
        <f>L27*D27</f>
        <v>0</v>
      </c>
      <c r="N27" s="172"/>
      <c r="O27" s="147">
        <f>O37*0.1</f>
        <v>2.5</v>
      </c>
      <c r="P27" s="123">
        <f>O27*D27</f>
        <v>0</v>
      </c>
      <c r="Q27" s="172"/>
      <c r="R27" s="149">
        <f>R37*0.1</f>
        <v>2.5</v>
      </c>
      <c r="S27" s="123">
        <f>R27*D27</f>
        <v>0</v>
      </c>
      <c r="T27" s="172"/>
      <c r="U27" s="149">
        <f>U37*0.1</f>
        <v>9.1</v>
      </c>
      <c r="V27" s="123">
        <f>U27*D27</f>
        <v>0</v>
      </c>
      <c r="W27" s="172"/>
      <c r="X27" s="148"/>
      <c r="Y27" s="320"/>
      <c r="Z27" s="172"/>
      <c r="AA27" s="147">
        <f>(AA38+AA37)*0.1</f>
        <v>43.6</v>
      </c>
      <c r="AB27" s="100">
        <f>AA27*D27</f>
        <v>0</v>
      </c>
      <c r="AC27" s="172"/>
      <c r="AD27" s="149">
        <f>(AD37+AD38)*0.1</f>
        <v>11.600000000000001</v>
      </c>
      <c r="AE27" s="98">
        <f>AD27*D27</f>
        <v>0</v>
      </c>
      <c r="AF27" s="127"/>
      <c r="AL27"/>
      <c r="AM27" s="340"/>
      <c r="AN27" s="340"/>
      <c r="AO27" s="341"/>
      <c r="AP27" s="340"/>
      <c r="AQ27"/>
    </row>
    <row r="28" spans="1:70" ht="12" customHeight="1">
      <c r="A28" s="94" t="s">
        <v>81</v>
      </c>
      <c r="B28" s="39" t="s">
        <v>357</v>
      </c>
      <c r="C28" s="15" t="s">
        <v>198</v>
      </c>
      <c r="D28" s="40"/>
      <c r="F28" s="17">
        <f t="shared" si="1"/>
        <v>16.82</v>
      </c>
      <c r="G28" s="77">
        <f>F28*D28</f>
        <v>0</v>
      </c>
      <c r="H28" s="207"/>
      <c r="I28" s="147">
        <f>I39*0.02</f>
        <v>2.38</v>
      </c>
      <c r="J28" s="25">
        <f>I28*D28</f>
        <v>0</v>
      </c>
      <c r="K28" s="172"/>
      <c r="L28" s="51">
        <f>L39*0.02</f>
        <v>3.8200000000000003</v>
      </c>
      <c r="M28" s="123">
        <f>L28*D28</f>
        <v>0</v>
      </c>
      <c r="N28" s="172"/>
      <c r="O28" s="147">
        <f>O39*0.02</f>
        <v>2.82</v>
      </c>
      <c r="P28" s="123">
        <f>O28*D28</f>
        <v>0</v>
      </c>
      <c r="Q28" s="172"/>
      <c r="R28" s="149">
        <f>R39*0.02</f>
        <v>1.6600000000000001</v>
      </c>
      <c r="S28" s="123">
        <f>R28*D28</f>
        <v>0</v>
      </c>
      <c r="T28" s="172"/>
      <c r="U28" s="149">
        <f>U39*0.02</f>
        <v>1.34</v>
      </c>
      <c r="V28" s="123">
        <f>U28*D28</f>
        <v>0</v>
      </c>
      <c r="W28" s="172"/>
      <c r="X28" s="149">
        <f>X39*0.02</f>
        <v>0.8</v>
      </c>
      <c r="Y28" s="192">
        <f>X28*D28</f>
        <v>0</v>
      </c>
      <c r="Z28" s="172"/>
      <c r="AA28" s="147">
        <f>AA39*0.02</f>
        <v>3</v>
      </c>
      <c r="AB28" s="100">
        <f>AA28*D28</f>
        <v>0</v>
      </c>
      <c r="AC28" s="172"/>
      <c r="AD28" s="149">
        <f>AD39*0.02</f>
        <v>1</v>
      </c>
      <c r="AE28" s="98">
        <f>AD28*D28</f>
        <v>0</v>
      </c>
      <c r="AF28" s="127"/>
      <c r="AL28"/>
      <c r="AM28" s="340"/>
      <c r="AN28" s="340"/>
      <c r="AO28" s="341"/>
      <c r="AP28" s="340"/>
      <c r="AQ28"/>
    </row>
    <row r="29" spans="1:70" ht="13">
      <c r="A29" s="94" t="s">
        <v>184</v>
      </c>
      <c r="B29" s="39" t="s">
        <v>197</v>
      </c>
      <c r="C29" s="15" t="s">
        <v>198</v>
      </c>
      <c r="D29" s="40"/>
      <c r="F29" s="17">
        <f>F40*0.0001</f>
        <v>1.7080000000000002</v>
      </c>
      <c r="G29" s="77">
        <f>F29*D29</f>
        <v>0</v>
      </c>
      <c r="H29" s="207"/>
      <c r="I29" s="143"/>
      <c r="J29" s="115"/>
      <c r="K29" s="172"/>
      <c r="L29" s="321"/>
      <c r="M29" s="139"/>
      <c r="N29" s="172"/>
      <c r="O29" s="143"/>
      <c r="P29" s="139"/>
      <c r="Q29" s="172"/>
      <c r="R29" s="148"/>
      <c r="S29" s="139"/>
      <c r="T29" s="172"/>
      <c r="U29" s="148"/>
      <c r="V29" s="139"/>
      <c r="W29" s="172"/>
      <c r="X29" s="148"/>
      <c r="Y29" s="320"/>
      <c r="Z29" s="172"/>
      <c r="AA29" s="143"/>
      <c r="AB29" s="116"/>
      <c r="AC29" s="172"/>
      <c r="AD29" s="148"/>
      <c r="AE29" s="116"/>
      <c r="AF29" s="127"/>
      <c r="AL29"/>
      <c r="AM29" s="340"/>
      <c r="AN29" s="340"/>
      <c r="AO29" s="341"/>
      <c r="AP29" s="340"/>
      <c r="AQ29"/>
    </row>
    <row r="30" spans="1:70" ht="13">
      <c r="A30" s="94" t="s">
        <v>185</v>
      </c>
      <c r="B30" s="58" t="s">
        <v>26</v>
      </c>
      <c r="C30" s="15" t="s">
        <v>5</v>
      </c>
      <c r="D30" s="40"/>
      <c r="F30" s="14">
        <v>600</v>
      </c>
      <c r="G30" s="42">
        <f t="shared" si="2"/>
        <v>0</v>
      </c>
      <c r="H30" s="207"/>
      <c r="I30" s="149">
        <v>150</v>
      </c>
      <c r="J30" s="25">
        <f>D30*I30</f>
        <v>0</v>
      </c>
      <c r="K30" s="172"/>
      <c r="L30" s="86"/>
      <c r="M30" s="139"/>
      <c r="N30" s="172"/>
      <c r="O30" s="149">
        <v>50</v>
      </c>
      <c r="P30" s="123">
        <f>D30*O30</f>
        <v>0</v>
      </c>
      <c r="Q30" s="172"/>
      <c r="R30" s="149">
        <v>50</v>
      </c>
      <c r="S30" s="123">
        <f>D30*R30</f>
        <v>0</v>
      </c>
      <c r="T30" s="172"/>
      <c r="U30" s="149">
        <v>50</v>
      </c>
      <c r="V30" s="123">
        <f>D30*U30</f>
        <v>0</v>
      </c>
      <c r="W30" s="172"/>
      <c r="X30" s="149">
        <v>50</v>
      </c>
      <c r="Y30" s="140">
        <f>X30*D30</f>
        <v>0</v>
      </c>
      <c r="Z30" s="172"/>
      <c r="AA30" s="148"/>
      <c r="AB30" s="116"/>
      <c r="AC30" s="172"/>
      <c r="AD30" s="148"/>
      <c r="AE30" s="116"/>
      <c r="AF30" s="127"/>
      <c r="AL30"/>
      <c r="AM30"/>
      <c r="AN30"/>
      <c r="AO30"/>
      <c r="AP30"/>
      <c r="AQ30"/>
    </row>
    <row r="31" spans="1:70" ht="13">
      <c r="A31" s="94" t="s">
        <v>186</v>
      </c>
      <c r="B31" s="58" t="s">
        <v>365</v>
      </c>
      <c r="C31" s="15" t="s">
        <v>6</v>
      </c>
      <c r="D31" s="40"/>
      <c r="F31" s="17">
        <f t="shared" si="1"/>
        <v>699</v>
      </c>
      <c r="G31" s="77">
        <f>D31*F31</f>
        <v>0</v>
      </c>
      <c r="H31" s="207"/>
      <c r="I31" s="147">
        <f>I199+I194</f>
        <v>230</v>
      </c>
      <c r="J31" s="91">
        <f>I31*D31</f>
        <v>0</v>
      </c>
      <c r="K31" s="172"/>
      <c r="L31" s="51">
        <f>L194</f>
        <v>55</v>
      </c>
      <c r="M31" s="140">
        <f>L31*D31</f>
        <v>0</v>
      </c>
      <c r="N31" s="172"/>
      <c r="O31" s="147">
        <f>O194</f>
        <v>25</v>
      </c>
      <c r="P31" s="140">
        <f>O31*D31</f>
        <v>0</v>
      </c>
      <c r="Q31" s="172"/>
      <c r="R31" s="147">
        <f>R194</f>
        <v>25</v>
      </c>
      <c r="S31" s="140">
        <f>R31*D31</f>
        <v>0</v>
      </c>
      <c r="T31" s="172"/>
      <c r="U31" s="147">
        <f>U199+U194</f>
        <v>110</v>
      </c>
      <c r="V31" s="140">
        <f>U31*D31</f>
        <v>0</v>
      </c>
      <c r="W31" s="172"/>
      <c r="X31" s="148"/>
      <c r="Y31" s="139"/>
      <c r="Z31" s="172"/>
      <c r="AA31" s="149">
        <f>AA194</f>
        <v>168</v>
      </c>
      <c r="AB31" s="98">
        <f>AA31*D31</f>
        <v>0</v>
      </c>
      <c r="AC31" s="172"/>
      <c r="AD31" s="147">
        <f>AD199+AD194</f>
        <v>86</v>
      </c>
      <c r="AE31" s="98">
        <f>AD31*D31</f>
        <v>0</v>
      </c>
      <c r="AF31" s="127"/>
    </row>
    <row r="32" spans="1:70" s="6" customFormat="1" ht="13">
      <c r="A32" s="94" t="s">
        <v>187</v>
      </c>
      <c r="B32" s="290" t="s">
        <v>27</v>
      </c>
      <c r="C32" s="291" t="s">
        <v>5</v>
      </c>
      <c r="D32" s="172"/>
      <c r="E32" s="1"/>
      <c r="F32" s="316">
        <f>F31</f>
        <v>699</v>
      </c>
      <c r="G32" s="245">
        <f>D32*F32</f>
        <v>0</v>
      </c>
      <c r="H32" s="207"/>
      <c r="I32" s="144"/>
      <c r="J32" s="296"/>
      <c r="K32" s="172"/>
      <c r="L32" s="297"/>
      <c r="M32" s="298"/>
      <c r="N32" s="172"/>
      <c r="O32" s="299"/>
      <c r="P32" s="298"/>
      <c r="Q32" s="172"/>
      <c r="R32" s="299"/>
      <c r="S32" s="298"/>
      <c r="T32" s="172"/>
      <c r="U32" s="299"/>
      <c r="V32" s="298"/>
      <c r="W32" s="172"/>
      <c r="X32" s="299"/>
      <c r="Y32" s="298"/>
      <c r="Z32" s="172"/>
      <c r="AA32" s="299"/>
      <c r="AB32" s="119"/>
      <c r="AC32" s="172"/>
      <c r="AD32" s="299"/>
      <c r="AE32" s="119"/>
      <c r="AF32" s="129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</row>
    <row r="33" spans="1:70" s="6" customFormat="1" ht="16" customHeight="1">
      <c r="A33" s="363" t="s">
        <v>25</v>
      </c>
      <c r="B33" s="363"/>
      <c r="C33" s="363"/>
      <c r="D33" s="363"/>
      <c r="E33" s="1"/>
      <c r="F33" s="294" t="s">
        <v>8</v>
      </c>
      <c r="G33" s="295">
        <f>SUM(G34:G40)</f>
        <v>0</v>
      </c>
      <c r="H33" s="164"/>
      <c r="I33" s="294" t="s">
        <v>8</v>
      </c>
      <c r="J33" s="295">
        <f>SUM(J34:J40)</f>
        <v>0</v>
      </c>
      <c r="K33" s="164"/>
      <c r="L33" s="294" t="s">
        <v>8</v>
      </c>
      <c r="M33" s="295">
        <f>SUM(M35:M40)</f>
        <v>0</v>
      </c>
      <c r="N33" s="164"/>
      <c r="O33" s="294" t="s">
        <v>8</v>
      </c>
      <c r="P33" s="295">
        <f>SUM(P34:P40)</f>
        <v>0</v>
      </c>
      <c r="Q33" s="164"/>
      <c r="R33" s="294" t="s">
        <v>8</v>
      </c>
      <c r="S33" s="295">
        <f>SUM(S34:S40)</f>
        <v>0</v>
      </c>
      <c r="T33" s="164"/>
      <c r="U33" s="294" t="s">
        <v>8</v>
      </c>
      <c r="V33" s="295">
        <f>SUM(V34:V40)</f>
        <v>0</v>
      </c>
      <c r="W33" s="164"/>
      <c r="X33" s="294" t="s">
        <v>8</v>
      </c>
      <c r="Y33" s="295">
        <f>SUM(Y34:Y40)</f>
        <v>0</v>
      </c>
      <c r="Z33" s="164"/>
      <c r="AA33" s="294" t="s">
        <v>8</v>
      </c>
      <c r="AB33" s="295">
        <f>SUM(AB34:AB40)</f>
        <v>0</v>
      </c>
      <c r="AC33" s="164"/>
      <c r="AD33" s="294" t="s">
        <v>8</v>
      </c>
      <c r="AE33" s="295">
        <f>SUM(AE34:AE40)</f>
        <v>0</v>
      </c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</row>
    <row r="34" spans="1:70" s="6" customFormat="1" ht="13">
      <c r="A34" s="94" t="s">
        <v>188</v>
      </c>
      <c r="B34" s="39" t="s">
        <v>43</v>
      </c>
      <c r="C34" s="94" t="s">
        <v>2</v>
      </c>
      <c r="D34" s="325"/>
      <c r="E34" s="182"/>
      <c r="F34" s="175">
        <f>SUM(+I34+L34+O34+R34+U34+X34+AA34+AD34)</f>
        <v>1</v>
      </c>
      <c r="G34" s="25">
        <f>D34*F34</f>
        <v>0</v>
      </c>
      <c r="H34" s="214"/>
      <c r="I34" s="175">
        <v>1</v>
      </c>
      <c r="J34" s="83">
        <f t="shared" ref="J34:J39" si="3">I34*D34</f>
        <v>0</v>
      </c>
      <c r="K34" s="84"/>
      <c r="L34" s="95"/>
      <c r="M34" s="141"/>
      <c r="N34" s="168"/>
      <c r="O34" s="150"/>
      <c r="P34" s="141"/>
      <c r="Q34" s="168"/>
      <c r="R34" s="150"/>
      <c r="S34" s="141"/>
      <c r="T34" s="168"/>
      <c r="U34" s="150"/>
      <c r="V34" s="141"/>
      <c r="W34" s="191"/>
      <c r="X34" s="150"/>
      <c r="Y34" s="139"/>
      <c r="Z34" s="191"/>
      <c r="AA34" s="150"/>
      <c r="AB34" s="139"/>
      <c r="AC34" s="191"/>
      <c r="AD34" s="150"/>
      <c r="AE34" s="102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</row>
    <row r="35" spans="1:70" s="6" customFormat="1" ht="13">
      <c r="A35" s="94" t="s">
        <v>189</v>
      </c>
      <c r="B35" s="79" t="s">
        <v>33</v>
      </c>
      <c r="C35" s="80" t="s">
        <v>2</v>
      </c>
      <c r="D35" s="201"/>
      <c r="E35" s="111"/>
      <c r="F35" s="175">
        <f t="shared" ref="F35:F37" si="4">SUM(+I35+L35+O35+R35+U35+X35+AA35+AD35)</f>
        <v>107</v>
      </c>
      <c r="G35" s="25">
        <f>D35*F35</f>
        <v>0</v>
      </c>
      <c r="H35" s="209"/>
      <c r="I35" s="176">
        <f>SUM(I46+I48+I49+I53)</f>
        <v>7</v>
      </c>
      <c r="J35" s="83">
        <f t="shared" si="3"/>
        <v>0</v>
      </c>
      <c r="K35" s="47"/>
      <c r="L35" s="82">
        <f>SUM(L46:L53)</f>
        <v>5</v>
      </c>
      <c r="M35" s="142">
        <f>L35*D35</f>
        <v>0</v>
      </c>
      <c r="N35" s="47"/>
      <c r="O35" s="151"/>
      <c r="P35" s="139"/>
      <c r="Q35" s="47"/>
      <c r="R35" s="186"/>
      <c r="S35" s="139"/>
      <c r="T35" s="47"/>
      <c r="U35" s="186"/>
      <c r="V35" s="139"/>
      <c r="W35" s="47"/>
      <c r="X35" s="186"/>
      <c r="Y35" s="139"/>
      <c r="Z35" s="47"/>
      <c r="AA35" s="176">
        <f>SUM(AA46:AA53)</f>
        <v>64</v>
      </c>
      <c r="AB35" s="100">
        <f>AA35*D35</f>
        <v>0</v>
      </c>
      <c r="AC35" s="47"/>
      <c r="AD35" s="176">
        <f>SUM(AD46:AD53)</f>
        <v>31</v>
      </c>
      <c r="AE35" s="77">
        <f>AD35*D35</f>
        <v>0</v>
      </c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</row>
    <row r="36" spans="1:70" s="6" customFormat="1" ht="13">
      <c r="A36" s="94" t="s">
        <v>190</v>
      </c>
      <c r="B36" s="43" t="s">
        <v>32</v>
      </c>
      <c r="C36" s="15" t="s">
        <v>2</v>
      </c>
      <c r="D36" s="105"/>
      <c r="E36" s="111"/>
      <c r="F36" s="175">
        <f>SUM(+I36+L36+O36+R36+U36+X36+AA36+AD36)</f>
        <v>25</v>
      </c>
      <c r="G36" s="42">
        <f t="shared" ref="G36:G40" si="5">D36*F36</f>
        <v>0</v>
      </c>
      <c r="H36" s="209"/>
      <c r="I36" s="108">
        <f>SUM(I55:I67)</f>
        <v>7</v>
      </c>
      <c r="J36" s="11">
        <f t="shared" si="3"/>
        <v>0</v>
      </c>
      <c r="K36" s="47"/>
      <c r="L36" s="22">
        <f>SUM(L55:L67)</f>
        <v>8</v>
      </c>
      <c r="M36" s="100">
        <f>L36*D36</f>
        <v>0</v>
      </c>
      <c r="N36" s="47"/>
      <c r="O36" s="108">
        <v>4</v>
      </c>
      <c r="P36" s="100">
        <f>O36*D36</f>
        <v>0</v>
      </c>
      <c r="Q36" s="47"/>
      <c r="R36" s="108">
        <f>SUM(R55:R65)</f>
        <v>3</v>
      </c>
      <c r="S36" s="100">
        <f>R36*D36</f>
        <v>0</v>
      </c>
      <c r="T36" s="47"/>
      <c r="U36" s="108">
        <f>SUM(U55:U67)</f>
        <v>2</v>
      </c>
      <c r="V36" s="100">
        <f>U36*D36</f>
        <v>0</v>
      </c>
      <c r="W36" s="47"/>
      <c r="X36" s="108">
        <v>1</v>
      </c>
      <c r="Y36" s="123">
        <f>D36*X36</f>
        <v>0</v>
      </c>
      <c r="Z36" s="47"/>
      <c r="AA36" s="144"/>
      <c r="AB36" s="116"/>
      <c r="AC36" s="47"/>
      <c r="AD36" s="144"/>
      <c r="AE36" s="102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</row>
    <row r="37" spans="1:70" s="6" customFormat="1" ht="13">
      <c r="A37" s="94" t="s">
        <v>191</v>
      </c>
      <c r="B37" s="43" t="s">
        <v>31</v>
      </c>
      <c r="C37" s="15" t="s">
        <v>2</v>
      </c>
      <c r="D37" s="13"/>
      <c r="E37" s="1"/>
      <c r="F37" s="14">
        <f t="shared" si="4"/>
        <v>741</v>
      </c>
      <c r="G37" s="42">
        <f t="shared" si="5"/>
        <v>0</v>
      </c>
      <c r="H37" s="209"/>
      <c r="I37" s="152">
        <f>SUM(I69:I82)</f>
        <v>151</v>
      </c>
      <c r="J37" s="77">
        <f t="shared" si="3"/>
        <v>0</v>
      </c>
      <c r="K37" s="47"/>
      <c r="L37" s="316">
        <f>SUM(L69:L82)</f>
        <v>57</v>
      </c>
      <c r="M37" s="100">
        <f>L37*D37</f>
        <v>0</v>
      </c>
      <c r="N37" s="47"/>
      <c r="O37" s="152">
        <f>SUM(O69:O82)</f>
        <v>25</v>
      </c>
      <c r="P37" s="98"/>
      <c r="Q37" s="47"/>
      <c r="R37" s="152">
        <f>SUM(R69:R82)</f>
        <v>25</v>
      </c>
      <c r="S37" s="100">
        <f>R37*D37</f>
        <v>0</v>
      </c>
      <c r="T37" s="47"/>
      <c r="U37" s="152">
        <f>SUM(U69:U82)</f>
        <v>91</v>
      </c>
      <c r="V37" s="100">
        <f>U37*D37</f>
        <v>0</v>
      </c>
      <c r="W37" s="47"/>
      <c r="X37" s="144"/>
      <c r="Y37" s="139"/>
      <c r="Z37" s="47"/>
      <c r="AA37" s="152">
        <f>SUM(AA69:AA82)</f>
        <v>308</v>
      </c>
      <c r="AB37" s="98">
        <f>AA37*D37</f>
        <v>0</v>
      </c>
      <c r="AC37" s="47"/>
      <c r="AD37" s="152">
        <f>SUM(AD69:AD82)</f>
        <v>84</v>
      </c>
      <c r="AE37" s="77">
        <f>AD37*D37</f>
        <v>0</v>
      </c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</row>
    <row r="38" spans="1:70" s="6" customFormat="1" ht="13">
      <c r="A38" s="94" t="s">
        <v>192</v>
      </c>
      <c r="B38" s="43" t="s">
        <v>30</v>
      </c>
      <c r="C38" s="15" t="s">
        <v>2</v>
      </c>
      <c r="D38" s="13"/>
      <c r="E38" s="1"/>
      <c r="F38" s="284">
        <f t="shared" ref="F38" si="6">SUM(+I38+L38+O38+R38+U38+X38+AA38+AD38)</f>
        <v>320</v>
      </c>
      <c r="G38" s="42">
        <f t="shared" ref="G38" si="7">D38*F38</f>
        <v>0</v>
      </c>
      <c r="H38" s="209"/>
      <c r="I38" s="17">
        <f>SUM(I173:I180)</f>
        <v>160</v>
      </c>
      <c r="J38" s="11">
        <f t="shared" si="3"/>
        <v>0</v>
      </c>
      <c r="K38" s="47"/>
      <c r="L38" s="87"/>
      <c r="M38" s="116"/>
      <c r="N38" s="47"/>
      <c r="O38" s="87"/>
      <c r="P38" s="116"/>
      <c r="Q38" s="47"/>
      <c r="R38" s="87"/>
      <c r="S38" s="116"/>
      <c r="T38" s="47"/>
      <c r="U38" s="87"/>
      <c r="V38" s="116"/>
      <c r="W38" s="47"/>
      <c r="X38" s="87"/>
      <c r="Y38" s="139"/>
      <c r="Z38" s="47"/>
      <c r="AA38" s="17">
        <f>SUM(AA173:AA180)</f>
        <v>128</v>
      </c>
      <c r="AB38" s="98">
        <f>AA38*D38</f>
        <v>0</v>
      </c>
      <c r="AC38" s="47"/>
      <c r="AD38" s="17">
        <f>SUM(AD173:AD180)</f>
        <v>32</v>
      </c>
      <c r="AE38" s="77">
        <f>AD38*D38</f>
        <v>0</v>
      </c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</row>
    <row r="39" spans="1:70" s="6" customFormat="1" ht="13">
      <c r="A39" s="94" t="s">
        <v>193</v>
      </c>
      <c r="B39" s="43" t="s">
        <v>372</v>
      </c>
      <c r="C39" s="57" t="s">
        <v>5</v>
      </c>
      <c r="D39" s="13"/>
      <c r="E39" s="1"/>
      <c r="F39" s="284">
        <f>SUM(+I39+L39+O39+R39+U39+X39+AA39+AD39)</f>
        <v>841</v>
      </c>
      <c r="G39" s="42">
        <f>D39*F39</f>
        <v>0</v>
      </c>
      <c r="H39" s="209"/>
      <c r="I39" s="152">
        <f>19+100</f>
        <v>119</v>
      </c>
      <c r="J39" s="11">
        <f t="shared" si="3"/>
        <v>0</v>
      </c>
      <c r="K39" s="47"/>
      <c r="L39" s="22">
        <f>121+70</f>
        <v>191</v>
      </c>
      <c r="M39" s="100">
        <f>L39*D39</f>
        <v>0</v>
      </c>
      <c r="N39" s="47"/>
      <c r="O39" s="108">
        <f>141</f>
        <v>141</v>
      </c>
      <c r="P39" s="100">
        <f>O39*D39</f>
        <v>0</v>
      </c>
      <c r="Q39" s="47"/>
      <c r="R39" s="152">
        <v>83</v>
      </c>
      <c r="S39" s="100">
        <f>R39*D39</f>
        <v>0</v>
      </c>
      <c r="T39" s="47"/>
      <c r="U39" s="152">
        <f>67</f>
        <v>67</v>
      </c>
      <c r="V39" s="100">
        <f>U39*D39</f>
        <v>0</v>
      </c>
      <c r="W39" s="47"/>
      <c r="X39" s="152">
        <f>40</f>
        <v>40</v>
      </c>
      <c r="Y39" s="123">
        <f t="shared" ref="Y39" si="8">D39*X39</f>
        <v>0</v>
      </c>
      <c r="Z39" s="47"/>
      <c r="AA39" s="152">
        <v>150</v>
      </c>
      <c r="AB39" s="98">
        <f>AA39*D39</f>
        <v>0</v>
      </c>
      <c r="AC39" s="47"/>
      <c r="AD39" s="152">
        <f>50</f>
        <v>50</v>
      </c>
      <c r="AE39" s="77">
        <f>AD39*D39</f>
        <v>0</v>
      </c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</row>
    <row r="40" spans="1:70" s="6" customFormat="1" ht="13">
      <c r="A40" s="94" t="s">
        <v>388</v>
      </c>
      <c r="B40" s="43" t="s">
        <v>369</v>
      </c>
      <c r="C40" s="15" t="s">
        <v>5</v>
      </c>
      <c r="D40" s="13"/>
      <c r="E40" s="1"/>
      <c r="F40" s="284">
        <f>F182+F183+F184+F185+F186</f>
        <v>17080</v>
      </c>
      <c r="G40" s="42">
        <f t="shared" si="5"/>
        <v>0</v>
      </c>
      <c r="H40" s="209"/>
      <c r="I40" s="87"/>
      <c r="J40" s="102"/>
      <c r="K40" s="47"/>
      <c r="L40" s="87"/>
      <c r="M40" s="116"/>
      <c r="N40" s="47"/>
      <c r="O40" s="87"/>
      <c r="P40" s="116"/>
      <c r="Q40" s="47"/>
      <c r="R40" s="87"/>
      <c r="S40" s="116"/>
      <c r="T40" s="47"/>
      <c r="U40" s="87"/>
      <c r="V40" s="116"/>
      <c r="W40" s="47"/>
      <c r="X40" s="87"/>
      <c r="Y40" s="139"/>
      <c r="Z40" s="47"/>
      <c r="AA40" s="87"/>
      <c r="AB40" s="116"/>
      <c r="AC40" s="47"/>
      <c r="AD40" s="87"/>
      <c r="AE40" s="102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</row>
    <row r="41" spans="1:70" s="6" customFormat="1" ht="13" thickBot="1">
      <c r="A41" s="219"/>
      <c r="B41" s="220"/>
      <c r="C41" s="221"/>
      <c r="D41" s="165"/>
      <c r="E41" s="1"/>
      <c r="F41" s="222"/>
      <c r="G41" s="223"/>
      <c r="H41" s="163"/>
      <c r="I41" s="225"/>
      <c r="J41" s="223"/>
      <c r="K41" s="163"/>
      <c r="L41" s="225"/>
      <c r="M41" s="223"/>
      <c r="N41" s="163"/>
      <c r="O41" s="225"/>
      <c r="P41" s="223"/>
      <c r="Q41" s="163"/>
      <c r="R41" s="225"/>
      <c r="S41" s="223"/>
      <c r="T41" s="163"/>
      <c r="U41" s="225"/>
      <c r="V41" s="223"/>
      <c r="W41" s="163"/>
      <c r="X41" s="225"/>
      <c r="Y41" s="223"/>
      <c r="Z41" s="163"/>
      <c r="AA41" s="225"/>
      <c r="AB41" s="223"/>
      <c r="AC41" s="163"/>
      <c r="AD41" s="225"/>
      <c r="AE41" s="223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</row>
    <row r="42" spans="1:70" s="6" customFormat="1" ht="17" thickBot="1">
      <c r="A42" s="349" t="s">
        <v>183</v>
      </c>
      <c r="B42" s="350"/>
      <c r="C42" s="350"/>
      <c r="D42" s="351"/>
      <c r="E42" s="1"/>
      <c r="F42" s="53" t="s">
        <v>21</v>
      </c>
      <c r="G42" s="30">
        <f>SUM(G43+G45+G54+G68+G75+G77+G83++G181+G172+G172)</f>
        <v>0</v>
      </c>
      <c r="H42" s="164"/>
      <c r="I42" s="53" t="s">
        <v>8</v>
      </c>
      <c r="J42" s="30">
        <f>SUM(J43:J180)</f>
        <v>0</v>
      </c>
      <c r="K42" s="52"/>
      <c r="L42" s="53" t="s">
        <v>8</v>
      </c>
      <c r="M42" s="30">
        <f>SUM(M43:M180)</f>
        <v>0</v>
      </c>
      <c r="N42" s="164"/>
      <c r="O42" s="53" t="s">
        <v>8</v>
      </c>
      <c r="P42" s="30">
        <f>SUM(P43:P180)</f>
        <v>0</v>
      </c>
      <c r="Q42" s="164"/>
      <c r="R42" s="53" t="s">
        <v>8</v>
      </c>
      <c r="S42" s="30">
        <f>SUM(S43:S180)</f>
        <v>0</v>
      </c>
      <c r="T42" s="164"/>
      <c r="U42" s="53" t="s">
        <v>8</v>
      </c>
      <c r="V42" s="30">
        <f>SUM(V43:V180)</f>
        <v>0</v>
      </c>
      <c r="W42" s="164"/>
      <c r="X42" s="53" t="s">
        <v>8</v>
      </c>
      <c r="Y42" s="30">
        <f>SUM(Y43:Y180)</f>
        <v>0</v>
      </c>
      <c r="Z42" s="164"/>
      <c r="AA42" s="53" t="s">
        <v>8</v>
      </c>
      <c r="AB42" s="30">
        <f>SUM(AB43:AB180)</f>
        <v>0</v>
      </c>
      <c r="AC42" s="164"/>
      <c r="AD42" s="53" t="s">
        <v>8</v>
      </c>
      <c r="AE42" s="30">
        <f>SUM(AE43:AE180)</f>
        <v>0</v>
      </c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</row>
    <row r="43" spans="1:70" s="6" customFormat="1" ht="15" customHeight="1">
      <c r="A43" s="364" t="s">
        <v>40</v>
      </c>
      <c r="B43" s="365"/>
      <c r="C43" s="365"/>
      <c r="D43" s="366"/>
      <c r="E43" s="1"/>
      <c r="F43" s="294" t="s">
        <v>8</v>
      </c>
      <c r="G43" s="295">
        <f>SUM(G44)</f>
        <v>0</v>
      </c>
      <c r="H43" s="209"/>
      <c r="I43" s="177"/>
      <c r="J43" s="73"/>
      <c r="K43" s="47"/>
      <c r="L43" s="74"/>
      <c r="M43" s="101"/>
      <c r="N43" s="47"/>
      <c r="O43" s="153"/>
      <c r="P43" s="101"/>
      <c r="Q43" s="47"/>
      <c r="R43" s="244"/>
      <c r="S43" s="101"/>
      <c r="T43" s="47"/>
      <c r="U43" s="244"/>
      <c r="V43" s="101"/>
      <c r="W43" s="47"/>
      <c r="X43" s="244"/>
      <c r="Y43" s="101"/>
      <c r="Z43" s="47"/>
      <c r="AA43" s="244"/>
      <c r="AB43" s="101"/>
      <c r="AC43" s="47"/>
      <c r="AD43" s="244"/>
      <c r="AE43" s="210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</row>
    <row r="44" spans="1:70" s="6" customFormat="1" ht="13">
      <c r="A44" s="230" t="s">
        <v>82</v>
      </c>
      <c r="B44" s="69" t="s">
        <v>363</v>
      </c>
      <c r="C44" s="15" t="s">
        <v>2</v>
      </c>
      <c r="D44" s="16"/>
      <c r="E44" s="1"/>
      <c r="F44" s="14">
        <f>SUM(+I44+L44+O44+R44+U44+X44+AA44+AD44)</f>
        <v>1</v>
      </c>
      <c r="G44" s="77">
        <f>D44*F44</f>
        <v>0</v>
      </c>
      <c r="H44" s="209"/>
      <c r="I44" s="152">
        <v>1</v>
      </c>
      <c r="J44" s="11">
        <f>I44*D44</f>
        <v>0</v>
      </c>
      <c r="K44" s="47"/>
      <c r="L44" s="90"/>
      <c r="M44" s="116"/>
      <c r="N44" s="47"/>
      <c r="O44" s="154"/>
      <c r="P44" s="116"/>
      <c r="Q44" s="47"/>
      <c r="R44" s="187"/>
      <c r="S44" s="116"/>
      <c r="T44" s="47"/>
      <c r="U44" s="187"/>
      <c r="V44" s="116"/>
      <c r="W44" s="47"/>
      <c r="X44" s="187"/>
      <c r="Y44" s="116"/>
      <c r="Z44" s="47"/>
      <c r="AA44" s="187"/>
      <c r="AB44" s="116"/>
      <c r="AC44" s="47"/>
      <c r="AD44" s="187"/>
      <c r="AE44" s="102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</row>
    <row r="45" spans="1:70" s="6" customFormat="1" ht="16" customHeight="1">
      <c r="A45" s="346" t="s">
        <v>23</v>
      </c>
      <c r="B45" s="347"/>
      <c r="C45" s="347"/>
      <c r="D45" s="348"/>
      <c r="E45" s="1"/>
      <c r="F45" s="302" t="s">
        <v>8</v>
      </c>
      <c r="G45" s="303">
        <f>SUM(G46:G53)</f>
        <v>0</v>
      </c>
      <c r="H45" s="209"/>
      <c r="I45" s="177"/>
      <c r="J45" s="73"/>
      <c r="K45" s="47"/>
      <c r="L45" s="74"/>
      <c r="M45" s="101"/>
      <c r="N45" s="47"/>
      <c r="O45" s="153"/>
      <c r="P45" s="101"/>
      <c r="Q45" s="47"/>
      <c r="R45" s="244"/>
      <c r="S45" s="101"/>
      <c r="T45" s="47"/>
      <c r="U45" s="244"/>
      <c r="V45" s="101"/>
      <c r="W45" s="47"/>
      <c r="X45" s="244"/>
      <c r="Y45" s="101"/>
      <c r="Z45" s="47"/>
      <c r="AA45" s="244"/>
      <c r="AB45" s="101"/>
      <c r="AC45" s="47"/>
      <c r="AD45" s="244"/>
      <c r="AE45" s="73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</row>
    <row r="46" spans="1:70" ht="13">
      <c r="A46" s="230" t="s">
        <v>83</v>
      </c>
      <c r="B46" s="69" t="s">
        <v>54</v>
      </c>
      <c r="C46" s="15" t="s">
        <v>2</v>
      </c>
      <c r="D46" s="13"/>
      <c r="F46" s="14">
        <f>SUM(I46+L46+O46+R46+U46+X46+AA46+AD46)</f>
        <v>42</v>
      </c>
      <c r="G46" s="77">
        <f t="shared" ref="G46:G53" si="9">D46*F46</f>
        <v>0</v>
      </c>
      <c r="H46" s="209"/>
      <c r="I46" s="152">
        <v>7</v>
      </c>
      <c r="J46" s="11">
        <f>I46*D46</f>
        <v>0</v>
      </c>
      <c r="K46" s="47"/>
      <c r="L46" s="90"/>
      <c r="M46" s="116"/>
      <c r="N46" s="47"/>
      <c r="O46" s="154"/>
      <c r="P46" s="116"/>
      <c r="Q46" s="47"/>
      <c r="R46" s="187"/>
      <c r="S46" s="116"/>
      <c r="T46" s="47"/>
      <c r="U46" s="187"/>
      <c r="V46" s="116"/>
      <c r="W46" s="47"/>
      <c r="X46" s="187"/>
      <c r="Y46" s="139"/>
      <c r="Z46" s="47"/>
      <c r="AA46" s="195">
        <v>31</v>
      </c>
      <c r="AB46" s="100">
        <f>AA46*D46</f>
        <v>0</v>
      </c>
      <c r="AC46" s="47"/>
      <c r="AD46" s="195">
        <v>4</v>
      </c>
      <c r="AE46" s="77">
        <f>AD46*D46</f>
        <v>0</v>
      </c>
    </row>
    <row r="47" spans="1:70" ht="13">
      <c r="A47" s="230" t="s">
        <v>84</v>
      </c>
      <c r="B47" s="69" t="s">
        <v>199</v>
      </c>
      <c r="C47" s="15" t="s">
        <v>2</v>
      </c>
      <c r="D47" s="13"/>
      <c r="F47" s="14">
        <f t="shared" ref="F47:F53" si="10">SUM(I47+L47+O47+R47+U47+X47+AA47+AD47)</f>
        <v>2</v>
      </c>
      <c r="G47" s="77">
        <f t="shared" si="9"/>
        <v>0</v>
      </c>
      <c r="H47" s="209"/>
      <c r="I47" s="152">
        <v>2</v>
      </c>
      <c r="J47" s="11">
        <f>I47*D47</f>
        <v>0</v>
      </c>
      <c r="K47" s="47"/>
      <c r="L47" s="90"/>
      <c r="M47" s="116"/>
      <c r="N47" s="47"/>
      <c r="O47" s="154"/>
      <c r="P47" s="116"/>
      <c r="Q47" s="47"/>
      <c r="R47" s="187"/>
      <c r="S47" s="116"/>
      <c r="T47" s="47"/>
      <c r="U47" s="187"/>
      <c r="V47" s="116"/>
      <c r="W47" s="47"/>
      <c r="X47" s="187"/>
      <c r="Y47" s="139"/>
      <c r="Z47" s="47"/>
      <c r="AA47" s="187"/>
      <c r="AB47" s="116"/>
      <c r="AC47" s="47"/>
      <c r="AD47" s="187"/>
      <c r="AE47" s="102"/>
    </row>
    <row r="48" spans="1:70" ht="13">
      <c r="A48" s="230" t="s">
        <v>85</v>
      </c>
      <c r="B48" s="69" t="s">
        <v>289</v>
      </c>
      <c r="C48" s="15" t="s">
        <v>2</v>
      </c>
      <c r="D48" s="13"/>
      <c r="F48" s="14">
        <f t="shared" si="10"/>
        <v>7</v>
      </c>
      <c r="G48" s="77">
        <f t="shared" si="9"/>
        <v>0</v>
      </c>
      <c r="H48" s="209"/>
      <c r="I48" s="144"/>
      <c r="J48" s="102"/>
      <c r="K48" s="47"/>
      <c r="L48" s="90"/>
      <c r="M48" s="116"/>
      <c r="N48" s="47"/>
      <c r="O48" s="154"/>
      <c r="P48" s="116"/>
      <c r="Q48" s="47"/>
      <c r="R48" s="187"/>
      <c r="S48" s="116"/>
      <c r="T48" s="47"/>
      <c r="U48" s="187"/>
      <c r="V48" s="116"/>
      <c r="W48" s="47"/>
      <c r="X48" s="187"/>
      <c r="Y48" s="139"/>
      <c r="Z48" s="47"/>
      <c r="AA48" s="187"/>
      <c r="AB48" s="116"/>
      <c r="AC48" s="47"/>
      <c r="AD48" s="160">
        <v>7</v>
      </c>
      <c r="AE48" s="77">
        <f>AD48*D48</f>
        <v>0</v>
      </c>
    </row>
    <row r="49" spans="1:70" ht="15" customHeight="1">
      <c r="A49" s="230" t="s">
        <v>86</v>
      </c>
      <c r="B49" s="69" t="s">
        <v>53</v>
      </c>
      <c r="C49" s="15" t="s">
        <v>2</v>
      </c>
      <c r="D49" s="13"/>
      <c r="F49" s="14">
        <f t="shared" si="10"/>
        <v>8</v>
      </c>
      <c r="G49" s="77">
        <f t="shared" si="9"/>
        <v>0</v>
      </c>
      <c r="H49" s="209"/>
      <c r="I49" s="144"/>
      <c r="J49" s="102"/>
      <c r="K49" s="47"/>
      <c r="L49" s="90"/>
      <c r="M49" s="116"/>
      <c r="N49" s="47"/>
      <c r="O49" s="154"/>
      <c r="P49" s="116"/>
      <c r="Q49" s="47"/>
      <c r="R49" s="187"/>
      <c r="S49" s="116"/>
      <c r="T49" s="47"/>
      <c r="U49" s="187"/>
      <c r="V49" s="116"/>
      <c r="W49" s="47"/>
      <c r="X49" s="187"/>
      <c r="Y49" s="139"/>
      <c r="Z49" s="47"/>
      <c r="AA49" s="195">
        <v>8</v>
      </c>
      <c r="AB49" s="100">
        <f>AA49*D49</f>
        <v>0</v>
      </c>
      <c r="AC49" s="47"/>
      <c r="AD49" s="187"/>
      <c r="AE49" s="102"/>
    </row>
    <row r="50" spans="1:70" ht="13">
      <c r="A50" s="230" t="s">
        <v>87</v>
      </c>
      <c r="B50" s="69" t="s">
        <v>299</v>
      </c>
      <c r="C50" s="15" t="s">
        <v>2</v>
      </c>
      <c r="D50" s="13"/>
      <c r="F50" s="14">
        <f t="shared" si="10"/>
        <v>38</v>
      </c>
      <c r="G50" s="77">
        <f t="shared" si="9"/>
        <v>0</v>
      </c>
      <c r="H50" s="209"/>
      <c r="I50" s="144"/>
      <c r="J50" s="102"/>
      <c r="K50" s="47"/>
      <c r="L50" s="90"/>
      <c r="M50" s="116"/>
      <c r="N50" s="47"/>
      <c r="O50" s="154"/>
      <c r="P50" s="116"/>
      <c r="Q50" s="47"/>
      <c r="R50" s="187"/>
      <c r="S50" s="116"/>
      <c r="T50" s="47"/>
      <c r="U50" s="187"/>
      <c r="V50" s="116"/>
      <c r="W50" s="47"/>
      <c r="X50" s="187"/>
      <c r="Y50" s="139"/>
      <c r="Z50" s="47"/>
      <c r="AA50" s="195">
        <v>25</v>
      </c>
      <c r="AB50" s="100">
        <f>AA50*D50</f>
        <v>0</v>
      </c>
      <c r="AC50" s="47"/>
      <c r="AD50" s="195">
        <v>13</v>
      </c>
      <c r="AE50" s="98">
        <f>AD50*D50</f>
        <v>0</v>
      </c>
      <c r="AF50" s="127"/>
    </row>
    <row r="51" spans="1:70" ht="13">
      <c r="A51" s="230" t="s">
        <v>88</v>
      </c>
      <c r="B51" s="69" t="s">
        <v>286</v>
      </c>
      <c r="C51" s="15" t="s">
        <v>2</v>
      </c>
      <c r="D51" s="13"/>
      <c r="F51" s="14">
        <f t="shared" si="10"/>
        <v>7</v>
      </c>
      <c r="G51" s="77">
        <f t="shared" si="9"/>
        <v>0</v>
      </c>
      <c r="H51" s="209"/>
      <c r="I51" s="144"/>
      <c r="J51" s="102"/>
      <c r="K51" s="47"/>
      <c r="L51" s="90"/>
      <c r="M51" s="116"/>
      <c r="N51" s="47"/>
      <c r="O51" s="154"/>
      <c r="P51" s="116"/>
      <c r="Q51" s="47"/>
      <c r="R51" s="187"/>
      <c r="S51" s="116"/>
      <c r="T51" s="47"/>
      <c r="U51" s="187"/>
      <c r="V51" s="116"/>
      <c r="W51" s="47"/>
      <c r="X51" s="187"/>
      <c r="Y51" s="139"/>
      <c r="Z51" s="47"/>
      <c r="AA51" s="187"/>
      <c r="AB51" s="116"/>
      <c r="AC51" s="47"/>
      <c r="AD51" s="195">
        <v>7</v>
      </c>
      <c r="AE51" s="98">
        <f>AD51*D51</f>
        <v>0</v>
      </c>
      <c r="AF51" s="127"/>
    </row>
    <row r="52" spans="1:70" ht="13">
      <c r="A52" s="230" t="s">
        <v>89</v>
      </c>
      <c r="B52" s="69" t="s">
        <v>287</v>
      </c>
      <c r="C52" s="15" t="s">
        <v>2</v>
      </c>
      <c r="D52" s="13"/>
      <c r="F52" s="14">
        <f t="shared" si="10"/>
        <v>10</v>
      </c>
      <c r="G52" s="77">
        <f t="shared" si="9"/>
        <v>0</v>
      </c>
      <c r="H52" s="209"/>
      <c r="I52" s="108">
        <v>10</v>
      </c>
      <c r="J52" s="11">
        <f>I52*D52</f>
        <v>0</v>
      </c>
      <c r="K52" s="47"/>
      <c r="L52" s="90"/>
      <c r="M52" s="116"/>
      <c r="N52" s="47"/>
      <c r="O52" s="154"/>
      <c r="P52" s="116"/>
      <c r="Q52" s="47"/>
      <c r="R52" s="187"/>
      <c r="S52" s="116"/>
      <c r="T52" s="47"/>
      <c r="U52" s="187"/>
      <c r="V52" s="116"/>
      <c r="W52" s="47"/>
      <c r="X52" s="187"/>
      <c r="Y52" s="139"/>
      <c r="Z52" s="47"/>
      <c r="AA52" s="187"/>
      <c r="AB52" s="116"/>
      <c r="AC52" s="47"/>
      <c r="AD52" s="187"/>
      <c r="AE52" s="116"/>
      <c r="AF52" s="127"/>
    </row>
    <row r="53" spans="1:70" ht="13">
      <c r="A53" s="230" t="s">
        <v>90</v>
      </c>
      <c r="B53" s="69" t="s">
        <v>288</v>
      </c>
      <c r="C53" s="15" t="s">
        <v>2</v>
      </c>
      <c r="D53" s="13"/>
      <c r="F53" s="14">
        <f t="shared" si="10"/>
        <v>5</v>
      </c>
      <c r="G53" s="77">
        <f t="shared" si="9"/>
        <v>0</v>
      </c>
      <c r="H53" s="209"/>
      <c r="I53" s="144"/>
      <c r="J53" s="102"/>
      <c r="K53" s="47"/>
      <c r="L53" s="27">
        <v>5</v>
      </c>
      <c r="M53" s="100">
        <f>L53*D53</f>
        <v>0</v>
      </c>
      <c r="N53" s="47"/>
      <c r="O53" s="154"/>
      <c r="P53" s="116"/>
      <c r="Q53" s="47"/>
      <c r="R53" s="187"/>
      <c r="S53" s="116"/>
      <c r="T53" s="47"/>
      <c r="U53" s="187"/>
      <c r="V53" s="116"/>
      <c r="W53" s="47"/>
      <c r="X53" s="187"/>
      <c r="Y53" s="139"/>
      <c r="Z53" s="47"/>
      <c r="AA53" s="187"/>
      <c r="AB53" s="116"/>
      <c r="AC53" s="47"/>
      <c r="AD53" s="187"/>
      <c r="AE53" s="116"/>
      <c r="AF53" s="127"/>
    </row>
    <row r="54" spans="1:70" ht="15" customHeight="1">
      <c r="A54" s="346" t="s">
        <v>24</v>
      </c>
      <c r="B54" s="347"/>
      <c r="C54" s="347"/>
      <c r="D54" s="348"/>
      <c r="F54" s="302" t="s">
        <v>8</v>
      </c>
      <c r="G54" s="303">
        <f>SUM(G55:G67)</f>
        <v>0</v>
      </c>
      <c r="H54" s="215"/>
      <c r="I54" s="155"/>
      <c r="J54" s="73"/>
      <c r="K54" s="77"/>
      <c r="L54" s="73"/>
      <c r="M54" s="101"/>
      <c r="N54" s="185"/>
      <c r="O54" s="155"/>
      <c r="P54" s="101"/>
      <c r="Q54" s="185"/>
      <c r="R54" s="155"/>
      <c r="S54" s="101"/>
      <c r="T54" s="185"/>
      <c r="U54" s="155"/>
      <c r="V54" s="101"/>
      <c r="W54" s="185"/>
      <c r="X54" s="155"/>
      <c r="Y54" s="101"/>
      <c r="Z54" s="185"/>
      <c r="AA54" s="155"/>
      <c r="AB54" s="101"/>
      <c r="AC54" s="185"/>
      <c r="AD54" s="155"/>
      <c r="AE54" s="101"/>
      <c r="AF54" s="127"/>
    </row>
    <row r="55" spans="1:70" s="227" customFormat="1" ht="13">
      <c r="A55" s="230" t="s">
        <v>91</v>
      </c>
      <c r="B55" s="69" t="s">
        <v>46</v>
      </c>
      <c r="C55" s="15" t="s">
        <v>2</v>
      </c>
      <c r="D55" s="13"/>
      <c r="E55" s="1"/>
      <c r="F55" s="14">
        <f>SUM(I55+L55+O55+R55+U55+X55+AA55+AD55)</f>
        <v>2</v>
      </c>
      <c r="G55" s="77">
        <f t="shared" ref="G55:G67" si="11">D55*F55</f>
        <v>0</v>
      </c>
      <c r="H55" s="209"/>
      <c r="I55" s="144"/>
      <c r="J55" s="102"/>
      <c r="K55" s="47"/>
      <c r="L55" s="27">
        <v>1</v>
      </c>
      <c r="M55" s="100">
        <f>L55*D55</f>
        <v>0</v>
      </c>
      <c r="N55" s="47"/>
      <c r="O55" s="157">
        <v>1</v>
      </c>
      <c r="P55" s="100">
        <f>O55*D55</f>
        <v>0</v>
      </c>
      <c r="Q55" s="47"/>
      <c r="R55" s="187"/>
      <c r="S55" s="116"/>
      <c r="T55" s="47"/>
      <c r="U55" s="187"/>
      <c r="V55" s="116"/>
      <c r="W55" s="47"/>
      <c r="X55" s="187"/>
      <c r="Y55" s="139"/>
      <c r="Z55" s="47"/>
      <c r="AA55" s="187"/>
      <c r="AB55" s="116"/>
      <c r="AC55" s="47"/>
      <c r="AD55" s="187"/>
      <c r="AE55" s="116"/>
      <c r="AF55" s="127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</row>
    <row r="56" spans="1:70" ht="13">
      <c r="A56" s="230" t="s">
        <v>92</v>
      </c>
      <c r="B56" s="93" t="s">
        <v>290</v>
      </c>
      <c r="C56" s="15" t="s">
        <v>2</v>
      </c>
      <c r="D56" s="13"/>
      <c r="F56" s="14">
        <f t="shared" ref="F56:F67" si="12">SUM(I56+L56+O56+R56+U56+X56+AA56+AD56)</f>
        <v>1</v>
      </c>
      <c r="G56" s="77">
        <f t="shared" si="11"/>
        <v>0</v>
      </c>
      <c r="H56" s="209"/>
      <c r="I56" s="144"/>
      <c r="J56" s="102"/>
      <c r="K56" s="47"/>
      <c r="L56" s="90"/>
      <c r="M56" s="116"/>
      <c r="N56" s="47"/>
      <c r="O56" s="157">
        <v>1</v>
      </c>
      <c r="P56" s="100">
        <f>O56*D56</f>
        <v>0</v>
      </c>
      <c r="Q56" s="47"/>
      <c r="R56" s="187"/>
      <c r="S56" s="116"/>
      <c r="T56" s="47"/>
      <c r="U56" s="187"/>
      <c r="V56" s="116"/>
      <c r="W56" s="47"/>
      <c r="X56" s="187"/>
      <c r="Y56" s="139"/>
      <c r="Z56" s="47"/>
      <c r="AA56" s="187"/>
      <c r="AB56" s="116"/>
      <c r="AC56" s="47"/>
      <c r="AD56" s="187"/>
      <c r="AE56" s="116"/>
      <c r="AF56" s="127"/>
    </row>
    <row r="57" spans="1:70" ht="13">
      <c r="A57" s="230" t="s">
        <v>93</v>
      </c>
      <c r="B57" s="93" t="s">
        <v>42</v>
      </c>
      <c r="C57" s="15" t="s">
        <v>2</v>
      </c>
      <c r="D57" s="13"/>
      <c r="F57" s="14">
        <f t="shared" si="12"/>
        <v>1</v>
      </c>
      <c r="G57" s="77">
        <f t="shared" si="11"/>
        <v>0</v>
      </c>
      <c r="H57" s="209"/>
      <c r="I57" s="144"/>
      <c r="J57" s="102"/>
      <c r="K57" s="47"/>
      <c r="L57" s="90"/>
      <c r="M57" s="116"/>
      <c r="N57" s="47"/>
      <c r="O57" s="156"/>
      <c r="P57" s="116"/>
      <c r="Q57" s="47"/>
      <c r="R57" s="160">
        <v>1</v>
      </c>
      <c r="S57" s="100">
        <f>R57*D57</f>
        <v>0</v>
      </c>
      <c r="T57" s="47"/>
      <c r="U57" s="187"/>
      <c r="V57" s="116"/>
      <c r="W57" s="47"/>
      <c r="X57" s="187"/>
      <c r="Y57" s="139"/>
      <c r="Z57" s="47"/>
      <c r="AA57" s="187"/>
      <c r="AB57" s="116"/>
      <c r="AC57" s="47"/>
      <c r="AD57" s="187"/>
      <c r="AE57" s="116"/>
      <c r="AF57" s="127"/>
    </row>
    <row r="58" spans="1:70" ht="13">
      <c r="A58" s="230" t="s">
        <v>94</v>
      </c>
      <c r="B58" s="258" t="s">
        <v>49</v>
      </c>
      <c r="C58" s="259" t="s">
        <v>2</v>
      </c>
      <c r="D58" s="13"/>
      <c r="F58" s="14">
        <f t="shared" si="12"/>
        <v>1</v>
      </c>
      <c r="G58" s="77">
        <f t="shared" si="11"/>
        <v>0</v>
      </c>
      <c r="H58" s="209"/>
      <c r="I58" s="143"/>
      <c r="J58" s="102"/>
      <c r="K58" s="261"/>
      <c r="L58" s="263"/>
      <c r="M58" s="116"/>
      <c r="N58" s="47"/>
      <c r="O58" s="265"/>
      <c r="P58" s="116"/>
      <c r="Q58" s="47"/>
      <c r="R58" s="286"/>
      <c r="S58" s="116"/>
      <c r="T58" s="47"/>
      <c r="U58" s="195">
        <v>1</v>
      </c>
      <c r="V58" s="100">
        <f>U58*D58</f>
        <v>0</v>
      </c>
      <c r="W58" s="47"/>
      <c r="X58" s="187"/>
      <c r="Y58" s="139"/>
      <c r="Z58" s="47"/>
      <c r="AA58" s="187"/>
      <c r="AB58" s="116"/>
      <c r="AC58" s="47"/>
      <c r="AD58" s="187"/>
      <c r="AE58" s="116"/>
      <c r="AF58" s="127"/>
    </row>
    <row r="59" spans="1:70" ht="13">
      <c r="A59" s="230" t="s">
        <v>95</v>
      </c>
      <c r="B59" s="69" t="s">
        <v>48</v>
      </c>
      <c r="C59" s="15" t="s">
        <v>2</v>
      </c>
      <c r="D59" s="13"/>
      <c r="F59" s="14">
        <f t="shared" si="12"/>
        <v>1</v>
      </c>
      <c r="G59" s="77">
        <f t="shared" si="11"/>
        <v>0</v>
      </c>
      <c r="H59" s="209"/>
      <c r="I59" s="144"/>
      <c r="J59" s="102"/>
      <c r="K59" s="47"/>
      <c r="L59" s="90"/>
      <c r="M59" s="116"/>
      <c r="N59" s="47"/>
      <c r="O59" s="154"/>
      <c r="P59" s="116"/>
      <c r="Q59" s="47"/>
      <c r="R59" s="160">
        <v>1</v>
      </c>
      <c r="S59" s="100">
        <f>R59*D59</f>
        <v>0</v>
      </c>
      <c r="T59" s="47"/>
      <c r="U59" s="187"/>
      <c r="V59" s="116"/>
      <c r="W59" s="47"/>
      <c r="X59" s="187"/>
      <c r="Y59" s="116"/>
      <c r="Z59" s="47"/>
      <c r="AA59" s="187"/>
      <c r="AB59" s="116"/>
      <c r="AC59" s="47"/>
      <c r="AD59" s="187"/>
      <c r="AE59" s="116"/>
      <c r="AF59" s="127"/>
    </row>
    <row r="60" spans="1:70" ht="13">
      <c r="A60" s="230" t="s">
        <v>96</v>
      </c>
      <c r="B60" s="69" t="s">
        <v>60</v>
      </c>
      <c r="C60" s="15" t="s">
        <v>2</v>
      </c>
      <c r="D60" s="13"/>
      <c r="F60" s="14">
        <f t="shared" si="12"/>
        <v>1</v>
      </c>
      <c r="G60" s="77">
        <f t="shared" si="11"/>
        <v>0</v>
      </c>
      <c r="H60" s="209"/>
      <c r="I60" s="152">
        <v>1</v>
      </c>
      <c r="J60" s="11">
        <f>I60*D60</f>
        <v>0</v>
      </c>
      <c r="K60" s="47"/>
      <c r="L60" s="90"/>
      <c r="M60" s="116"/>
      <c r="N60" s="47"/>
      <c r="O60" s="154"/>
      <c r="P60" s="116"/>
      <c r="Q60" s="47"/>
      <c r="R60" s="187"/>
      <c r="S60" s="116"/>
      <c r="T60" s="47"/>
      <c r="U60" s="187"/>
      <c r="V60" s="116"/>
      <c r="W60" s="47"/>
      <c r="X60" s="187"/>
      <c r="Y60" s="139"/>
      <c r="Z60" s="47"/>
      <c r="AA60" s="187"/>
      <c r="AB60" s="116"/>
      <c r="AC60" s="47"/>
      <c r="AD60" s="187"/>
      <c r="AE60" s="116"/>
      <c r="AF60" s="127"/>
    </row>
    <row r="61" spans="1:70" ht="13">
      <c r="A61" s="230" t="s">
        <v>97</v>
      </c>
      <c r="B61" s="68" t="s">
        <v>45</v>
      </c>
      <c r="C61" s="57" t="s">
        <v>2</v>
      </c>
      <c r="D61" s="89"/>
      <c r="F61" s="14">
        <f t="shared" si="12"/>
        <v>4</v>
      </c>
      <c r="G61" s="77">
        <f t="shared" si="11"/>
        <v>0</v>
      </c>
      <c r="I61" s="260"/>
      <c r="J61" s="102"/>
      <c r="K61" s="181"/>
      <c r="L61" s="262">
        <v>2</v>
      </c>
      <c r="M61" s="100">
        <f>L61*D61</f>
        <v>0</v>
      </c>
      <c r="O61" s="264">
        <v>1</v>
      </c>
      <c r="P61" s="100">
        <f>O61*D61</f>
        <v>0</v>
      </c>
      <c r="R61" s="266">
        <v>1</v>
      </c>
      <c r="S61" s="100">
        <f>R61*D61</f>
        <v>0</v>
      </c>
      <c r="U61" s="189"/>
      <c r="V61" s="116"/>
      <c r="X61" s="190"/>
      <c r="Y61" s="139"/>
      <c r="AA61" s="190"/>
      <c r="AB61" s="197"/>
      <c r="AD61" s="190"/>
      <c r="AE61" s="116"/>
      <c r="AF61" s="127"/>
    </row>
    <row r="62" spans="1:70" ht="13">
      <c r="A62" s="230" t="s">
        <v>98</v>
      </c>
      <c r="B62" s="68" t="s">
        <v>200</v>
      </c>
      <c r="C62" s="57" t="s">
        <v>2</v>
      </c>
      <c r="D62" s="89"/>
      <c r="F62" s="14">
        <f t="shared" si="12"/>
        <v>6</v>
      </c>
      <c r="G62" s="77">
        <f t="shared" si="11"/>
        <v>0</v>
      </c>
      <c r="I62" s="267">
        <v>6</v>
      </c>
      <c r="J62" s="77">
        <f>I62*D62</f>
        <v>0</v>
      </c>
      <c r="K62" s="181"/>
      <c r="L62" s="314"/>
      <c r="M62" s="116"/>
      <c r="O62" s="313"/>
      <c r="P62" s="116"/>
      <c r="R62" s="315"/>
      <c r="S62" s="116"/>
      <c r="U62" s="189"/>
      <c r="V62" s="116"/>
      <c r="X62" s="190"/>
      <c r="Y62" s="139"/>
      <c r="AA62" s="190"/>
      <c r="AB62" s="197"/>
      <c r="AD62" s="190"/>
      <c r="AE62" s="116"/>
      <c r="AF62" s="127"/>
    </row>
    <row r="63" spans="1:70" ht="13">
      <c r="A63" s="230" t="s">
        <v>99</v>
      </c>
      <c r="B63" s="69" t="s">
        <v>50</v>
      </c>
      <c r="C63" s="15" t="s">
        <v>2</v>
      </c>
      <c r="D63" s="13"/>
      <c r="F63" s="14">
        <f t="shared" si="12"/>
        <v>1</v>
      </c>
      <c r="G63" s="77">
        <f t="shared" si="11"/>
        <v>0</v>
      </c>
      <c r="H63" s="209"/>
      <c r="I63" s="144"/>
      <c r="J63" s="102"/>
      <c r="K63" s="47"/>
      <c r="L63" s="90"/>
      <c r="M63" s="116"/>
      <c r="N63" s="47"/>
      <c r="O63" s="154"/>
      <c r="P63" s="116"/>
      <c r="Q63" s="47"/>
      <c r="R63" s="187"/>
      <c r="S63" s="116"/>
      <c r="T63" s="47"/>
      <c r="U63" s="187"/>
      <c r="V63" s="116"/>
      <c r="W63" s="47"/>
      <c r="X63" s="195">
        <v>1</v>
      </c>
      <c r="Y63" s="123">
        <f>D63*X63</f>
        <v>0</v>
      </c>
      <c r="Z63" s="47"/>
      <c r="AA63" s="187"/>
      <c r="AB63" s="116"/>
      <c r="AC63" s="47"/>
      <c r="AD63" s="187"/>
      <c r="AE63" s="116"/>
      <c r="AF63" s="127"/>
    </row>
    <row r="64" spans="1:70" ht="13">
      <c r="A64" s="230" t="s">
        <v>100</v>
      </c>
      <c r="B64" s="69" t="s">
        <v>292</v>
      </c>
      <c r="C64" s="15" t="s">
        <v>2</v>
      </c>
      <c r="D64" s="13"/>
      <c r="F64" s="14">
        <f t="shared" si="12"/>
        <v>1</v>
      </c>
      <c r="G64" s="77">
        <f t="shared" si="11"/>
        <v>0</v>
      </c>
      <c r="H64" s="209"/>
      <c r="I64" s="144"/>
      <c r="J64" s="102"/>
      <c r="K64" s="47"/>
      <c r="L64" s="90"/>
      <c r="M64" s="116"/>
      <c r="N64" s="47"/>
      <c r="O64" s="156"/>
      <c r="P64" s="116"/>
      <c r="Q64" s="47"/>
      <c r="R64" s="187"/>
      <c r="S64" s="116"/>
      <c r="T64" s="47"/>
      <c r="U64" s="160">
        <v>1</v>
      </c>
      <c r="V64" s="100">
        <f>U64*D64</f>
        <v>0</v>
      </c>
      <c r="W64" s="47"/>
      <c r="X64" s="187"/>
      <c r="Y64" s="139"/>
      <c r="Z64" s="47"/>
      <c r="AA64" s="187"/>
      <c r="AB64" s="116"/>
      <c r="AC64" s="47"/>
      <c r="AD64" s="187"/>
      <c r="AE64" s="116"/>
      <c r="AF64" s="127"/>
    </row>
    <row r="65" spans="1:70" ht="13">
      <c r="A65" s="230" t="s">
        <v>101</v>
      </c>
      <c r="B65" s="69" t="s">
        <v>291</v>
      </c>
      <c r="C65" s="15" t="s">
        <v>2</v>
      </c>
      <c r="D65" s="13"/>
      <c r="F65" s="14">
        <f t="shared" si="12"/>
        <v>3</v>
      </c>
      <c r="G65" s="77">
        <f t="shared" si="11"/>
        <v>0</v>
      </c>
      <c r="H65" s="209"/>
      <c r="I65" s="144"/>
      <c r="J65" s="102"/>
      <c r="K65" s="47"/>
      <c r="L65" s="18">
        <v>3</v>
      </c>
      <c r="M65" s="100">
        <f>L65*D65</f>
        <v>0</v>
      </c>
      <c r="N65" s="47"/>
      <c r="O65" s="156"/>
      <c r="P65" s="116"/>
      <c r="Q65" s="47"/>
      <c r="R65" s="187"/>
      <c r="S65" s="116"/>
      <c r="T65" s="47"/>
      <c r="U65" s="187"/>
      <c r="V65" s="116"/>
      <c r="W65" s="47"/>
      <c r="X65" s="187"/>
      <c r="Y65" s="139"/>
      <c r="Z65" s="47"/>
      <c r="AA65" s="187"/>
      <c r="AB65" s="116"/>
      <c r="AC65" s="47"/>
      <c r="AD65" s="187"/>
      <c r="AE65" s="116"/>
      <c r="AF65" s="127"/>
    </row>
    <row r="66" spans="1:70" ht="13">
      <c r="A66" s="230" t="s">
        <v>102</v>
      </c>
      <c r="B66" s="69" t="s">
        <v>375</v>
      </c>
      <c r="C66" s="15" t="s">
        <v>2</v>
      </c>
      <c r="D66" s="13"/>
      <c r="F66" s="14">
        <f t="shared" ref="F66" si="13">SUM(I66+L66+O66+R66+U66+X66+AA66+AD66)</f>
        <v>2</v>
      </c>
      <c r="G66" s="77">
        <f t="shared" ref="G66" si="14">D66*F66</f>
        <v>0</v>
      </c>
      <c r="H66" s="209"/>
      <c r="I66" s="144"/>
      <c r="J66" s="102"/>
      <c r="K66" s="47"/>
      <c r="L66" s="18">
        <v>1</v>
      </c>
      <c r="M66" s="100">
        <f>L66*D66</f>
        <v>0</v>
      </c>
      <c r="N66" s="47"/>
      <c r="O66" s="156"/>
      <c r="P66" s="116"/>
      <c r="Q66" s="47"/>
      <c r="R66" s="160">
        <v>1</v>
      </c>
      <c r="S66" s="100">
        <f>R66*D66</f>
        <v>0</v>
      </c>
      <c r="T66" s="47"/>
      <c r="U66" s="187"/>
      <c r="V66" s="116"/>
      <c r="W66" s="47"/>
      <c r="X66" s="187"/>
      <c r="Y66" s="139"/>
      <c r="Z66" s="47"/>
      <c r="AA66" s="187"/>
      <c r="AB66" s="116"/>
      <c r="AC66" s="47"/>
      <c r="AD66" s="187"/>
      <c r="AE66" s="116"/>
      <c r="AF66" s="127"/>
    </row>
    <row r="67" spans="1:70" ht="13">
      <c r="A67" s="230" t="s">
        <v>103</v>
      </c>
      <c r="B67" s="69" t="s">
        <v>327</v>
      </c>
      <c r="C67" s="15" t="s">
        <v>2</v>
      </c>
      <c r="D67" s="13"/>
      <c r="F67" s="14">
        <f t="shared" si="12"/>
        <v>1</v>
      </c>
      <c r="G67" s="77">
        <f t="shared" si="11"/>
        <v>0</v>
      </c>
      <c r="H67" s="209"/>
      <c r="I67" s="144"/>
      <c r="J67" s="102"/>
      <c r="K67" s="47"/>
      <c r="L67" s="18">
        <v>1</v>
      </c>
      <c r="M67" s="100">
        <f>L67*D67</f>
        <v>0</v>
      </c>
      <c r="N67" s="47"/>
      <c r="O67" s="156"/>
      <c r="P67" s="116"/>
      <c r="Q67" s="47"/>
      <c r="R67" s="187"/>
      <c r="S67" s="116"/>
      <c r="T67" s="47"/>
      <c r="U67" s="187"/>
      <c r="V67" s="116"/>
      <c r="W67" s="47"/>
      <c r="X67" s="187"/>
      <c r="Y67" s="139"/>
      <c r="Z67" s="47"/>
      <c r="AA67" s="187"/>
      <c r="AB67" s="116"/>
      <c r="AC67" s="47"/>
      <c r="AD67" s="187"/>
      <c r="AE67" s="116"/>
      <c r="AF67" s="127"/>
    </row>
    <row r="68" spans="1:70" ht="16" customHeight="1">
      <c r="A68" s="346" t="s">
        <v>304</v>
      </c>
      <c r="B68" s="347"/>
      <c r="C68" s="347"/>
      <c r="D68" s="348"/>
      <c r="F68" s="302" t="s">
        <v>8</v>
      </c>
      <c r="G68" s="303">
        <f>SUM(G69:G74)</f>
        <v>0</v>
      </c>
      <c r="H68" s="209"/>
      <c r="I68" s="177"/>
      <c r="J68" s="73"/>
      <c r="K68" s="47"/>
      <c r="L68" s="70"/>
      <c r="M68" s="101"/>
      <c r="N68" s="169"/>
      <c r="O68" s="153"/>
      <c r="P68" s="101"/>
      <c r="Q68" s="169"/>
      <c r="R68" s="244"/>
      <c r="S68" s="101"/>
      <c r="T68" s="285"/>
      <c r="U68" s="244"/>
      <c r="V68" s="101"/>
      <c r="W68" s="285"/>
      <c r="X68" s="244"/>
      <c r="Y68" s="257"/>
      <c r="Z68" s="285"/>
      <c r="AA68" s="244"/>
      <c r="AB68" s="257"/>
      <c r="AC68" s="285"/>
      <c r="AD68" s="244"/>
      <c r="AE68" s="257"/>
      <c r="AF68" s="127"/>
    </row>
    <row r="69" spans="1:70" ht="13">
      <c r="A69" s="230" t="s">
        <v>104</v>
      </c>
      <c r="B69" s="69" t="s">
        <v>293</v>
      </c>
      <c r="C69" s="15" t="s">
        <v>2</v>
      </c>
      <c r="D69" s="13"/>
      <c r="F69" s="14">
        <f>SUM(I69+L69+O69+R69+U69+X69+AA69+AD69)</f>
        <v>28</v>
      </c>
      <c r="G69" s="77">
        <f t="shared" ref="G69:G74" si="15">D69*F69</f>
        <v>0</v>
      </c>
      <c r="H69" s="209"/>
      <c r="I69" s="144"/>
      <c r="J69" s="102"/>
      <c r="K69" s="47"/>
      <c r="L69" s="243"/>
      <c r="M69" s="116"/>
      <c r="N69" s="47"/>
      <c r="O69" s="154"/>
      <c r="P69" s="116"/>
      <c r="Q69" s="47"/>
      <c r="R69" s="187"/>
      <c r="S69" s="116"/>
      <c r="T69" s="47"/>
      <c r="U69" s="187"/>
      <c r="V69" s="116"/>
      <c r="W69" s="47"/>
      <c r="X69" s="187"/>
      <c r="Y69" s="139"/>
      <c r="Z69" s="47"/>
      <c r="AA69" s="195">
        <v>28</v>
      </c>
      <c r="AB69" s="100">
        <f t="shared" ref="AB69:AB74" si="16">AA69*D69</f>
        <v>0</v>
      </c>
      <c r="AC69" s="47"/>
      <c r="AD69" s="187"/>
      <c r="AE69" s="116"/>
      <c r="AF69" s="127"/>
    </row>
    <row r="70" spans="1:70" s="6" customFormat="1" ht="13">
      <c r="A70" s="230" t="s">
        <v>105</v>
      </c>
      <c r="B70" s="69" t="s">
        <v>294</v>
      </c>
      <c r="C70" s="15" t="s">
        <v>2</v>
      </c>
      <c r="D70" s="13"/>
      <c r="E70" s="1"/>
      <c r="F70" s="14">
        <f t="shared" ref="F70:F76" si="17">SUM(I70+L70+O70+R70+U70+X70+AA70+AD70)</f>
        <v>28</v>
      </c>
      <c r="G70" s="77">
        <f t="shared" si="15"/>
        <v>0</v>
      </c>
      <c r="H70" s="209"/>
      <c r="I70" s="144"/>
      <c r="J70" s="102"/>
      <c r="K70" s="47"/>
      <c r="L70" s="243"/>
      <c r="M70" s="116"/>
      <c r="N70" s="47"/>
      <c r="O70" s="154"/>
      <c r="P70" s="116"/>
      <c r="Q70" s="47"/>
      <c r="R70" s="187"/>
      <c r="S70" s="116"/>
      <c r="T70" s="47"/>
      <c r="U70" s="187"/>
      <c r="V70" s="116"/>
      <c r="W70" s="47"/>
      <c r="X70" s="187"/>
      <c r="Y70" s="139"/>
      <c r="Z70" s="47"/>
      <c r="AA70" s="195">
        <v>28</v>
      </c>
      <c r="AB70" s="100">
        <f t="shared" si="16"/>
        <v>0</v>
      </c>
      <c r="AC70" s="47"/>
      <c r="AD70" s="187"/>
      <c r="AE70" s="116"/>
      <c r="AF70" s="127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</row>
    <row r="71" spans="1:70" s="75" customFormat="1" ht="13">
      <c r="A71" s="230" t="s">
        <v>106</v>
      </c>
      <c r="B71" s="69" t="s">
        <v>295</v>
      </c>
      <c r="C71" s="15" t="s">
        <v>2</v>
      </c>
      <c r="D71" s="13"/>
      <c r="E71" s="1"/>
      <c r="F71" s="14">
        <f t="shared" si="17"/>
        <v>28</v>
      </c>
      <c r="G71" s="77">
        <f t="shared" si="15"/>
        <v>0</v>
      </c>
      <c r="H71" s="209"/>
      <c r="I71" s="144"/>
      <c r="J71" s="102"/>
      <c r="K71" s="47"/>
      <c r="L71" s="243"/>
      <c r="M71" s="116"/>
      <c r="N71" s="47"/>
      <c r="O71" s="154"/>
      <c r="P71" s="116"/>
      <c r="Q71" s="47"/>
      <c r="R71" s="187"/>
      <c r="S71" s="116"/>
      <c r="T71" s="47"/>
      <c r="U71" s="187"/>
      <c r="V71" s="116"/>
      <c r="W71" s="47"/>
      <c r="X71" s="187"/>
      <c r="Y71" s="139"/>
      <c r="Z71" s="47"/>
      <c r="AA71" s="195">
        <v>28</v>
      </c>
      <c r="AB71" s="100">
        <f t="shared" si="16"/>
        <v>0</v>
      </c>
      <c r="AC71" s="47"/>
      <c r="AD71" s="187"/>
      <c r="AE71" s="116"/>
      <c r="AF71" s="127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</row>
    <row r="72" spans="1:70" ht="13">
      <c r="A72" s="230" t="s">
        <v>107</v>
      </c>
      <c r="B72" s="69" t="s">
        <v>296</v>
      </c>
      <c r="C72" s="15" t="s">
        <v>2</v>
      </c>
      <c r="D72" s="13"/>
      <c r="F72" s="14">
        <f t="shared" si="17"/>
        <v>28</v>
      </c>
      <c r="G72" s="77">
        <f t="shared" si="15"/>
        <v>0</v>
      </c>
      <c r="H72" s="209"/>
      <c r="I72" s="144"/>
      <c r="J72" s="102"/>
      <c r="K72" s="47"/>
      <c r="L72" s="243"/>
      <c r="M72" s="116"/>
      <c r="N72" s="47"/>
      <c r="O72" s="154"/>
      <c r="P72" s="116"/>
      <c r="Q72" s="47"/>
      <c r="R72" s="187"/>
      <c r="S72" s="116"/>
      <c r="T72" s="47"/>
      <c r="U72" s="187"/>
      <c r="V72" s="116"/>
      <c r="W72" s="47"/>
      <c r="X72" s="187"/>
      <c r="Y72" s="139"/>
      <c r="Z72" s="47"/>
      <c r="AA72" s="195">
        <v>28</v>
      </c>
      <c r="AB72" s="100">
        <f t="shared" si="16"/>
        <v>0</v>
      </c>
      <c r="AC72" s="47"/>
      <c r="AD72" s="187"/>
      <c r="AE72" s="116"/>
      <c r="AF72" s="127"/>
    </row>
    <row r="73" spans="1:70" ht="13">
      <c r="A73" s="230" t="s">
        <v>328</v>
      </c>
      <c r="B73" s="69" t="s">
        <v>297</v>
      </c>
      <c r="C73" s="15" t="s">
        <v>2</v>
      </c>
      <c r="D73" s="13"/>
      <c r="F73" s="14">
        <f t="shared" si="17"/>
        <v>28</v>
      </c>
      <c r="G73" s="77">
        <f t="shared" si="15"/>
        <v>0</v>
      </c>
      <c r="H73" s="209"/>
      <c r="I73" s="144"/>
      <c r="J73" s="102"/>
      <c r="K73" s="47"/>
      <c r="L73" s="243"/>
      <c r="M73" s="116"/>
      <c r="N73" s="47"/>
      <c r="O73" s="154"/>
      <c r="P73" s="116"/>
      <c r="Q73" s="47"/>
      <c r="R73" s="187"/>
      <c r="S73" s="116"/>
      <c r="T73" s="47"/>
      <c r="U73" s="187"/>
      <c r="V73" s="116"/>
      <c r="W73" s="47"/>
      <c r="X73" s="187"/>
      <c r="Y73" s="139"/>
      <c r="Z73" s="47"/>
      <c r="AA73" s="195">
        <v>28</v>
      </c>
      <c r="AB73" s="100">
        <f t="shared" si="16"/>
        <v>0</v>
      </c>
      <c r="AC73" s="47"/>
      <c r="AD73" s="187"/>
      <c r="AE73" s="116"/>
      <c r="AF73" s="127"/>
    </row>
    <row r="74" spans="1:70" s="75" customFormat="1" ht="13">
      <c r="A74" s="230" t="s">
        <v>108</v>
      </c>
      <c r="B74" s="69" t="s">
        <v>298</v>
      </c>
      <c r="C74" s="15" t="s">
        <v>2</v>
      </c>
      <c r="D74" s="13"/>
      <c r="E74" s="1"/>
      <c r="F74" s="14">
        <f t="shared" si="17"/>
        <v>28</v>
      </c>
      <c r="G74" s="77">
        <f t="shared" si="15"/>
        <v>0</v>
      </c>
      <c r="H74" s="209"/>
      <c r="I74" s="144"/>
      <c r="J74" s="102"/>
      <c r="K74" s="47"/>
      <c r="L74" s="243"/>
      <c r="M74" s="116"/>
      <c r="N74" s="47"/>
      <c r="O74" s="156"/>
      <c r="P74" s="116"/>
      <c r="Q74" s="47"/>
      <c r="R74" s="187"/>
      <c r="S74" s="116"/>
      <c r="T74" s="47"/>
      <c r="U74" s="187"/>
      <c r="V74" s="116"/>
      <c r="W74" s="47"/>
      <c r="X74" s="187"/>
      <c r="Y74" s="139"/>
      <c r="Z74" s="47"/>
      <c r="AA74" s="195">
        <v>28</v>
      </c>
      <c r="AB74" s="100">
        <f t="shared" si="16"/>
        <v>0</v>
      </c>
      <c r="AC74" s="47"/>
      <c r="AD74" s="187"/>
      <c r="AE74" s="116"/>
      <c r="AF74" s="127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</row>
    <row r="75" spans="1:70" ht="16" customHeight="1">
      <c r="A75" s="346" t="s">
        <v>305</v>
      </c>
      <c r="B75" s="347"/>
      <c r="C75" s="347"/>
      <c r="D75" s="348"/>
      <c r="F75" s="302" t="s">
        <v>8</v>
      </c>
      <c r="G75" s="303">
        <f>SUM(G76)</f>
        <v>0</v>
      </c>
      <c r="H75" s="209"/>
      <c r="I75" s="177"/>
      <c r="J75" s="73"/>
      <c r="K75" s="47"/>
      <c r="L75" s="70"/>
      <c r="M75" s="101"/>
      <c r="N75" s="169"/>
      <c r="O75" s="153"/>
      <c r="P75" s="101"/>
      <c r="Q75" s="169"/>
      <c r="R75" s="244"/>
      <c r="S75" s="101"/>
      <c r="T75" s="285"/>
      <c r="U75" s="244"/>
      <c r="V75" s="101"/>
      <c r="W75" s="285"/>
      <c r="X75" s="244"/>
      <c r="Y75" s="257"/>
      <c r="Z75" s="285"/>
      <c r="AA75" s="244"/>
      <c r="AB75" s="257"/>
      <c r="AC75" s="285"/>
      <c r="AD75" s="244"/>
      <c r="AE75" s="257"/>
      <c r="AF75" s="127"/>
    </row>
    <row r="76" spans="1:70" ht="13">
      <c r="A76" s="230" t="s">
        <v>109</v>
      </c>
      <c r="B76" s="69" t="s">
        <v>300</v>
      </c>
      <c r="C76" s="15" t="s">
        <v>2</v>
      </c>
      <c r="D76" s="16"/>
      <c r="F76" s="14">
        <f t="shared" si="17"/>
        <v>415</v>
      </c>
      <c r="G76" s="77">
        <f t="shared" ref="G76:G171" si="18">D76*F76</f>
        <v>0</v>
      </c>
      <c r="H76" s="209"/>
      <c r="I76" s="152">
        <v>150</v>
      </c>
      <c r="J76" s="77">
        <f>I76*D76</f>
        <v>0</v>
      </c>
      <c r="K76" s="27"/>
      <c r="L76" s="18">
        <v>55</v>
      </c>
      <c r="M76" s="98">
        <f>L76*D76</f>
        <v>0</v>
      </c>
      <c r="N76" s="169"/>
      <c r="O76" s="160">
        <v>25</v>
      </c>
      <c r="P76" s="98">
        <f>O76*D76</f>
        <v>0</v>
      </c>
      <c r="Q76" s="169"/>
      <c r="R76" s="160">
        <v>25</v>
      </c>
      <c r="S76" s="98">
        <f>R76*D76</f>
        <v>0</v>
      </c>
      <c r="T76" s="285"/>
      <c r="U76" s="160">
        <v>90</v>
      </c>
      <c r="V76" s="98">
        <f>U76*D76</f>
        <v>0</v>
      </c>
      <c r="W76" s="285"/>
      <c r="X76" s="187"/>
      <c r="Y76" s="139"/>
      <c r="Z76" s="285"/>
      <c r="AA76" s="187"/>
      <c r="AB76" s="116"/>
      <c r="AC76" s="285"/>
      <c r="AD76" s="160">
        <v>70</v>
      </c>
      <c r="AE76" s="98">
        <f>AD76*D76</f>
        <v>0</v>
      </c>
      <c r="AF76" s="127"/>
    </row>
    <row r="77" spans="1:70" ht="18" customHeight="1">
      <c r="A77" s="346" t="s">
        <v>285</v>
      </c>
      <c r="B77" s="347"/>
      <c r="C77" s="347"/>
      <c r="D77" s="348"/>
      <c r="F77" s="302" t="s">
        <v>8</v>
      </c>
      <c r="G77" s="303">
        <f>SUM(G78:G82)</f>
        <v>0</v>
      </c>
      <c r="H77" s="209"/>
      <c r="I77" s="177"/>
      <c r="J77" s="73"/>
      <c r="K77" s="27"/>
      <c r="L77" s="74"/>
      <c r="M77" s="101"/>
      <c r="N77" s="169"/>
      <c r="O77" s="153"/>
      <c r="P77" s="101"/>
      <c r="Q77" s="169"/>
      <c r="R77" s="244"/>
      <c r="S77" s="101"/>
      <c r="T77" s="285"/>
      <c r="U77" s="244"/>
      <c r="V77" s="101"/>
      <c r="W77" s="285"/>
      <c r="X77" s="244"/>
      <c r="Y77" s="193"/>
      <c r="Z77" s="285"/>
      <c r="AA77" s="244"/>
      <c r="AB77" s="101"/>
      <c r="AC77" s="285"/>
      <c r="AD77" s="244"/>
      <c r="AE77" s="101"/>
      <c r="AF77" s="127"/>
    </row>
    <row r="78" spans="1:70" ht="13">
      <c r="A78" s="230" t="s">
        <v>110</v>
      </c>
      <c r="B78" s="69" t="s">
        <v>55</v>
      </c>
      <c r="C78" s="15" t="s">
        <v>2</v>
      </c>
      <c r="D78" s="13"/>
      <c r="F78" s="14">
        <f>SUM(I78+L78+O78+R78+U78+X78+AA78+AD78)</f>
        <v>50</v>
      </c>
      <c r="G78" s="77">
        <f>D78*F78</f>
        <v>0</v>
      </c>
      <c r="H78" s="209"/>
      <c r="I78" s="144"/>
      <c r="J78" s="102"/>
      <c r="K78" s="47"/>
      <c r="L78" s="243"/>
      <c r="M78" s="116"/>
      <c r="N78" s="47"/>
      <c r="O78" s="154"/>
      <c r="P78" s="116"/>
      <c r="Q78" s="47"/>
      <c r="R78" s="187"/>
      <c r="S78" s="116"/>
      <c r="T78" s="47"/>
      <c r="U78" s="187"/>
      <c r="V78" s="116"/>
      <c r="W78" s="47"/>
      <c r="X78" s="187"/>
      <c r="Y78" s="139"/>
      <c r="Z78" s="47"/>
      <c r="AA78" s="195">
        <v>50</v>
      </c>
      <c r="AB78" s="100">
        <f>AA78*D78</f>
        <v>0</v>
      </c>
      <c r="AC78" s="47"/>
      <c r="AD78" s="187"/>
      <c r="AE78" s="116"/>
      <c r="AF78" s="127"/>
    </row>
    <row r="79" spans="1:70" s="6" customFormat="1" ht="13">
      <c r="A79" s="230" t="s">
        <v>111</v>
      </c>
      <c r="B79" s="69" t="s">
        <v>56</v>
      </c>
      <c r="C79" s="15" t="s">
        <v>2</v>
      </c>
      <c r="D79" s="13"/>
      <c r="E79" s="1"/>
      <c r="F79" s="14">
        <f t="shared" ref="F79:F82" si="19">SUM(I79+L79+O79+R79+U79+X79+AA79+AD79)</f>
        <v>30</v>
      </c>
      <c r="G79" s="77">
        <f>D79*F79</f>
        <v>0</v>
      </c>
      <c r="H79" s="209"/>
      <c r="I79" s="144"/>
      <c r="J79" s="102"/>
      <c r="K79" s="47"/>
      <c r="L79" s="243"/>
      <c r="M79" s="116"/>
      <c r="N79" s="47"/>
      <c r="O79" s="154"/>
      <c r="P79" s="116"/>
      <c r="Q79" s="47"/>
      <c r="R79" s="187"/>
      <c r="S79" s="116"/>
      <c r="T79" s="47"/>
      <c r="U79" s="187"/>
      <c r="V79" s="116"/>
      <c r="W79" s="47"/>
      <c r="X79" s="187"/>
      <c r="Y79" s="139"/>
      <c r="Z79" s="47"/>
      <c r="AA79" s="195">
        <v>30</v>
      </c>
      <c r="AB79" s="100">
        <f>AA79*D79</f>
        <v>0</v>
      </c>
      <c r="AC79" s="47"/>
      <c r="AD79" s="187"/>
      <c r="AE79" s="116"/>
      <c r="AF79" s="127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</row>
    <row r="80" spans="1:70" s="75" customFormat="1" ht="13">
      <c r="A80" s="230" t="s">
        <v>112</v>
      </c>
      <c r="B80" s="69" t="s">
        <v>57</v>
      </c>
      <c r="C80" s="15" t="s">
        <v>2</v>
      </c>
      <c r="D80" s="13"/>
      <c r="E80" s="1"/>
      <c r="F80" s="14">
        <f t="shared" si="19"/>
        <v>30</v>
      </c>
      <c r="G80" s="77">
        <f>D80*F80</f>
        <v>0</v>
      </c>
      <c r="H80" s="209"/>
      <c r="I80" s="144"/>
      <c r="J80" s="102"/>
      <c r="K80" s="47"/>
      <c r="L80" s="243"/>
      <c r="M80" s="116"/>
      <c r="N80" s="47"/>
      <c r="O80" s="154"/>
      <c r="P80" s="116"/>
      <c r="Q80" s="47"/>
      <c r="R80" s="187"/>
      <c r="S80" s="116"/>
      <c r="T80" s="47"/>
      <c r="U80" s="187"/>
      <c r="V80" s="116"/>
      <c r="W80" s="47"/>
      <c r="X80" s="187"/>
      <c r="Y80" s="139"/>
      <c r="Z80" s="47"/>
      <c r="AA80" s="195">
        <v>30</v>
      </c>
      <c r="AB80" s="100">
        <f>AA80*D80</f>
        <v>0</v>
      </c>
      <c r="AC80" s="47"/>
      <c r="AD80" s="187"/>
      <c r="AE80" s="116"/>
      <c r="AF80" s="127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</row>
    <row r="81" spans="1:70" ht="13">
      <c r="A81" s="230" t="s">
        <v>113</v>
      </c>
      <c r="B81" s="69" t="s">
        <v>58</v>
      </c>
      <c r="C81" s="15" t="s">
        <v>2</v>
      </c>
      <c r="D81" s="13"/>
      <c r="F81" s="14">
        <f t="shared" si="19"/>
        <v>30</v>
      </c>
      <c r="G81" s="77">
        <f>D81*F81</f>
        <v>0</v>
      </c>
      <c r="H81" s="209"/>
      <c r="I81" s="144"/>
      <c r="J81" s="102"/>
      <c r="K81" s="47"/>
      <c r="L81" s="243"/>
      <c r="M81" s="116"/>
      <c r="N81" s="47"/>
      <c r="O81" s="154"/>
      <c r="P81" s="116"/>
      <c r="Q81" s="47"/>
      <c r="R81" s="187"/>
      <c r="S81" s="116"/>
      <c r="T81" s="47"/>
      <c r="U81" s="187"/>
      <c r="V81" s="116"/>
      <c r="W81" s="47"/>
      <c r="X81" s="187"/>
      <c r="Y81" s="139"/>
      <c r="Z81" s="47"/>
      <c r="AA81" s="195">
        <v>30</v>
      </c>
      <c r="AB81" s="100">
        <f>AA81*D81</f>
        <v>0</v>
      </c>
      <c r="AC81" s="47"/>
      <c r="AD81" s="187"/>
      <c r="AE81" s="116"/>
      <c r="AF81" s="127"/>
    </row>
    <row r="82" spans="1:70" s="75" customFormat="1" ht="13">
      <c r="A82" s="230" t="s">
        <v>114</v>
      </c>
      <c r="B82" s="69" t="s">
        <v>47</v>
      </c>
      <c r="C82" s="15" t="s">
        <v>2</v>
      </c>
      <c r="D82" s="13"/>
      <c r="E82" s="1"/>
      <c r="F82" s="14">
        <f t="shared" si="19"/>
        <v>18</v>
      </c>
      <c r="G82" s="77">
        <f>D82*F82</f>
        <v>0</v>
      </c>
      <c r="H82" s="209"/>
      <c r="I82" s="152">
        <v>1</v>
      </c>
      <c r="J82" s="77">
        <f>I82*G82</f>
        <v>0</v>
      </c>
      <c r="K82" s="47"/>
      <c r="L82" s="18">
        <v>2</v>
      </c>
      <c r="M82" s="100">
        <f>L82*D82</f>
        <v>0</v>
      </c>
      <c r="N82" s="47"/>
      <c r="O82" s="156"/>
      <c r="P82" s="116"/>
      <c r="Q82" s="47"/>
      <c r="R82" s="187"/>
      <c r="S82" s="116"/>
      <c r="T82" s="47"/>
      <c r="U82" s="160">
        <v>1</v>
      </c>
      <c r="V82" s="100">
        <f>U82*D82</f>
        <v>0</v>
      </c>
      <c r="W82" s="47"/>
      <c r="X82" s="187"/>
      <c r="Y82" s="139"/>
      <c r="Z82" s="47"/>
      <c r="AA82" s="187"/>
      <c r="AB82" s="116"/>
      <c r="AC82" s="47"/>
      <c r="AD82" s="195">
        <f>14</f>
        <v>14</v>
      </c>
      <c r="AE82" s="98">
        <f>AD82*D82</f>
        <v>0</v>
      </c>
      <c r="AF82" s="127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</row>
    <row r="83" spans="1:70" ht="15" customHeight="1">
      <c r="A83" s="345" t="s">
        <v>376</v>
      </c>
      <c r="B83" s="345"/>
      <c r="C83" s="345"/>
      <c r="D83" s="345"/>
      <c r="F83" s="302" t="s">
        <v>8</v>
      </c>
      <c r="G83" s="303">
        <f>(SUM(G85:G90))+(SUM(G92:G96))+(SUM(G98:G109))+(SUM(G111:G118))+(SUM(G120:G126))+(SUM(G128:G136))+(SUM(G138:G145))+(SUM(G147:G156))+(SUM(G158:G164))+(SUM(G166:G171))</f>
        <v>0</v>
      </c>
      <c r="H83" s="47"/>
      <c r="I83" s="177"/>
      <c r="J83" s="73"/>
      <c r="K83" s="47"/>
      <c r="L83" s="74"/>
      <c r="M83" s="101"/>
      <c r="N83" s="169"/>
      <c r="O83" s="153"/>
      <c r="P83" s="101"/>
      <c r="Q83" s="169"/>
      <c r="R83" s="153"/>
      <c r="S83" s="101"/>
      <c r="T83" s="169"/>
      <c r="U83" s="153"/>
      <c r="V83" s="101"/>
      <c r="W83" s="169"/>
      <c r="X83" s="153"/>
      <c r="Y83" s="193"/>
      <c r="Z83" s="169"/>
      <c r="AA83" s="153"/>
      <c r="AB83" s="101"/>
      <c r="AC83" s="169"/>
      <c r="AD83" s="153"/>
      <c r="AE83" s="101"/>
      <c r="AF83" s="127"/>
    </row>
    <row r="84" spans="1:70" ht="13">
      <c r="A84" s="231"/>
      <c r="B84" s="304" t="s">
        <v>207</v>
      </c>
      <c r="C84" s="71"/>
      <c r="D84" s="72"/>
      <c r="F84" s="76"/>
      <c r="G84" s="73"/>
      <c r="H84" s="209"/>
      <c r="I84" s="177"/>
      <c r="J84" s="73"/>
      <c r="K84" s="47"/>
      <c r="L84" s="74"/>
      <c r="M84" s="101"/>
      <c r="N84" s="169"/>
      <c r="O84" s="153"/>
      <c r="P84" s="101"/>
      <c r="Q84" s="169"/>
      <c r="R84" s="153"/>
      <c r="S84" s="101"/>
      <c r="T84" s="169"/>
      <c r="U84" s="153"/>
      <c r="V84" s="101"/>
      <c r="W84" s="169"/>
      <c r="X84" s="153"/>
      <c r="Y84" s="193"/>
      <c r="Z84" s="169"/>
      <c r="AA84" s="153"/>
      <c r="AB84" s="101"/>
      <c r="AC84" s="169"/>
      <c r="AD84" s="153"/>
      <c r="AE84" s="101"/>
      <c r="AF84" s="127"/>
    </row>
    <row r="85" spans="1:70" ht="13">
      <c r="A85" s="230" t="s">
        <v>111</v>
      </c>
      <c r="B85" s="136" t="s">
        <v>201</v>
      </c>
      <c r="C85" s="15" t="s">
        <v>2</v>
      </c>
      <c r="D85" s="16"/>
      <c r="F85" s="17">
        <f>SUM(+I85+L85+O85+R85+U85+X85+AA85+AD85)</f>
        <v>33</v>
      </c>
      <c r="G85" s="77">
        <f t="shared" si="18"/>
        <v>0</v>
      </c>
      <c r="H85" s="209"/>
      <c r="I85" s="152">
        <v>33</v>
      </c>
      <c r="J85" s="77">
        <f t="shared" ref="J85:J90" si="20">I85*D85</f>
        <v>0</v>
      </c>
      <c r="K85" s="47"/>
      <c r="L85" s="90"/>
      <c r="M85" s="116"/>
      <c r="N85" s="169"/>
      <c r="O85" s="154"/>
      <c r="P85" s="116"/>
      <c r="Q85" s="169"/>
      <c r="R85" s="154"/>
      <c r="S85" s="116"/>
      <c r="T85" s="169"/>
      <c r="U85" s="154"/>
      <c r="V85" s="116"/>
      <c r="W85" s="169"/>
      <c r="X85" s="154"/>
      <c r="Y85" s="139"/>
      <c r="Z85" s="169"/>
      <c r="AA85" s="154"/>
      <c r="AB85" s="116"/>
      <c r="AC85" s="169"/>
      <c r="AD85" s="154"/>
      <c r="AE85" s="116"/>
      <c r="AF85" s="127"/>
    </row>
    <row r="86" spans="1:70" ht="13">
      <c r="A86" s="230" t="s">
        <v>112</v>
      </c>
      <c r="B86" s="136" t="s">
        <v>202</v>
      </c>
      <c r="C86" s="15" t="s">
        <v>2</v>
      </c>
      <c r="D86" s="16"/>
      <c r="F86" s="17">
        <f t="shared" ref="F86:F90" si="21">SUM(+I86+L86+O86+R86+U86+X86+AA86+AD86)</f>
        <v>35</v>
      </c>
      <c r="G86" s="77">
        <f t="shared" si="18"/>
        <v>0</v>
      </c>
      <c r="H86" s="209"/>
      <c r="I86" s="152">
        <v>35</v>
      </c>
      <c r="J86" s="77">
        <f t="shared" si="20"/>
        <v>0</v>
      </c>
      <c r="K86" s="47"/>
      <c r="L86" s="90"/>
      <c r="M86" s="116"/>
      <c r="N86" s="169"/>
      <c r="O86" s="154"/>
      <c r="P86" s="116"/>
      <c r="Q86" s="169"/>
      <c r="R86" s="154"/>
      <c r="S86" s="116"/>
      <c r="T86" s="169"/>
      <c r="U86" s="154"/>
      <c r="V86" s="116"/>
      <c r="W86" s="169"/>
      <c r="X86" s="154"/>
      <c r="Y86" s="139"/>
      <c r="Z86" s="169"/>
      <c r="AA86" s="154"/>
      <c r="AB86" s="116"/>
      <c r="AC86" s="169"/>
      <c r="AD86" s="154"/>
      <c r="AE86" s="116"/>
      <c r="AF86" s="127"/>
    </row>
    <row r="87" spans="1:70" ht="13" customHeight="1">
      <c r="A87" s="230" t="s">
        <v>113</v>
      </c>
      <c r="B87" s="136" t="s">
        <v>203</v>
      </c>
      <c r="C87" s="15" t="s">
        <v>2</v>
      </c>
      <c r="D87" s="16"/>
      <c r="F87" s="17">
        <f t="shared" si="21"/>
        <v>48</v>
      </c>
      <c r="G87" s="77">
        <f t="shared" si="18"/>
        <v>0</v>
      </c>
      <c r="H87" s="209"/>
      <c r="I87" s="152">
        <v>48</v>
      </c>
      <c r="J87" s="77">
        <f t="shared" si="20"/>
        <v>0</v>
      </c>
      <c r="K87" s="47"/>
      <c r="L87" s="90"/>
      <c r="M87" s="116"/>
      <c r="N87" s="169"/>
      <c r="O87" s="154"/>
      <c r="P87" s="116"/>
      <c r="Q87" s="169"/>
      <c r="R87" s="154"/>
      <c r="S87" s="116"/>
      <c r="T87" s="169"/>
      <c r="U87" s="154"/>
      <c r="V87" s="116"/>
      <c r="W87" s="169"/>
      <c r="X87" s="154"/>
      <c r="Y87" s="139"/>
      <c r="Z87" s="169"/>
      <c r="AA87" s="154"/>
      <c r="AB87" s="116"/>
      <c r="AC87" s="169"/>
      <c r="AD87" s="154"/>
      <c r="AE87" s="116"/>
      <c r="AF87" s="127"/>
    </row>
    <row r="88" spans="1:70" ht="13">
      <c r="A88" s="230" t="s">
        <v>114</v>
      </c>
      <c r="B88" s="136" t="s">
        <v>204</v>
      </c>
      <c r="C88" s="15" t="s">
        <v>2</v>
      </c>
      <c r="D88" s="16"/>
      <c r="F88" s="17">
        <f t="shared" si="21"/>
        <v>34</v>
      </c>
      <c r="G88" s="77">
        <f t="shared" si="18"/>
        <v>0</v>
      </c>
      <c r="H88" s="209"/>
      <c r="I88" s="152">
        <v>34</v>
      </c>
      <c r="J88" s="77">
        <f t="shared" si="20"/>
        <v>0</v>
      </c>
      <c r="K88" s="47"/>
      <c r="L88" s="90"/>
      <c r="M88" s="116"/>
      <c r="N88" s="169"/>
      <c r="O88" s="154"/>
      <c r="P88" s="116"/>
      <c r="Q88" s="169"/>
      <c r="R88" s="154"/>
      <c r="S88" s="116"/>
      <c r="T88" s="169"/>
      <c r="U88" s="154"/>
      <c r="V88" s="116"/>
      <c r="W88" s="169"/>
      <c r="X88" s="154"/>
      <c r="Y88" s="139"/>
      <c r="Z88" s="169"/>
      <c r="AA88" s="154"/>
      <c r="AB88" s="116"/>
      <c r="AC88" s="169"/>
      <c r="AD88" s="154"/>
      <c r="AE88" s="116"/>
      <c r="AF88" s="127"/>
    </row>
    <row r="89" spans="1:70" s="75" customFormat="1" ht="13">
      <c r="A89" s="230" t="s">
        <v>115</v>
      </c>
      <c r="B89" s="136" t="s">
        <v>205</v>
      </c>
      <c r="C89" s="15" t="s">
        <v>2</v>
      </c>
      <c r="D89" s="16"/>
      <c r="E89" s="1"/>
      <c r="F89" s="17">
        <f t="shared" si="21"/>
        <v>40</v>
      </c>
      <c r="G89" s="77">
        <f t="shared" si="18"/>
        <v>0</v>
      </c>
      <c r="H89" s="209"/>
      <c r="I89" s="152">
        <v>40</v>
      </c>
      <c r="J89" s="77">
        <f t="shared" si="20"/>
        <v>0</v>
      </c>
      <c r="K89" s="47"/>
      <c r="L89" s="90"/>
      <c r="M89" s="116"/>
      <c r="N89" s="169"/>
      <c r="O89" s="154"/>
      <c r="P89" s="116"/>
      <c r="Q89" s="169"/>
      <c r="R89" s="154"/>
      <c r="S89" s="116"/>
      <c r="T89" s="169"/>
      <c r="U89" s="154"/>
      <c r="V89" s="116"/>
      <c r="W89" s="169"/>
      <c r="X89" s="154"/>
      <c r="Y89" s="139"/>
      <c r="Z89" s="169"/>
      <c r="AA89" s="154"/>
      <c r="AB89" s="116"/>
      <c r="AC89" s="169"/>
      <c r="AD89" s="154"/>
      <c r="AE89" s="116"/>
      <c r="AF89" s="127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</row>
    <row r="90" spans="1:70" ht="13">
      <c r="A90" s="230" t="s">
        <v>116</v>
      </c>
      <c r="B90" s="136" t="s">
        <v>206</v>
      </c>
      <c r="C90" s="15" t="s">
        <v>2</v>
      </c>
      <c r="D90" s="16"/>
      <c r="F90" s="17">
        <f t="shared" si="21"/>
        <v>38</v>
      </c>
      <c r="G90" s="77">
        <f t="shared" si="18"/>
        <v>0</v>
      </c>
      <c r="H90" s="209"/>
      <c r="I90" s="152">
        <v>38</v>
      </c>
      <c r="J90" s="77">
        <f t="shared" si="20"/>
        <v>0</v>
      </c>
      <c r="K90" s="47"/>
      <c r="L90" s="90"/>
      <c r="M90" s="116"/>
      <c r="N90" s="169"/>
      <c r="O90" s="154"/>
      <c r="P90" s="116"/>
      <c r="Q90" s="169"/>
      <c r="R90" s="154"/>
      <c r="S90" s="116"/>
      <c r="T90" s="169"/>
      <c r="U90" s="154"/>
      <c r="V90" s="116"/>
      <c r="W90" s="169"/>
      <c r="X90" s="154"/>
      <c r="Y90" s="139"/>
      <c r="Z90" s="169"/>
      <c r="AA90" s="154"/>
      <c r="AB90" s="116"/>
      <c r="AC90" s="169"/>
      <c r="AD90" s="154"/>
      <c r="AE90" s="116"/>
      <c r="AF90" s="127"/>
    </row>
    <row r="91" spans="1:70" ht="13">
      <c r="A91" s="268"/>
      <c r="B91" s="306" t="s">
        <v>208</v>
      </c>
      <c r="C91" s="269"/>
      <c r="D91" s="270"/>
      <c r="F91" s="271"/>
      <c r="G91" s="272"/>
      <c r="H91" s="238"/>
      <c r="I91" s="273"/>
      <c r="J91" s="274"/>
      <c r="K91" s="275"/>
      <c r="L91" s="273"/>
      <c r="M91" s="274"/>
      <c r="N91" s="275"/>
      <c r="O91" s="273"/>
      <c r="P91" s="274"/>
      <c r="Q91" s="275"/>
      <c r="R91" s="273"/>
      <c r="S91" s="274"/>
      <c r="T91" s="275"/>
      <c r="U91" s="273"/>
      <c r="V91" s="276"/>
      <c r="W91" s="275"/>
      <c r="X91" s="273"/>
      <c r="Y91" s="274"/>
      <c r="Z91" s="275"/>
      <c r="AA91" s="273"/>
      <c r="AB91" s="274"/>
      <c r="AC91" s="127"/>
      <c r="AD91" s="292"/>
      <c r="AE91" s="293"/>
    </row>
    <row r="92" spans="1:70" ht="13">
      <c r="A92" s="94" t="s">
        <v>117</v>
      </c>
      <c r="B92" s="277" t="s">
        <v>209</v>
      </c>
      <c r="C92" s="278" t="s">
        <v>2</v>
      </c>
      <c r="D92" s="279"/>
      <c r="F92" s="51">
        <f>I92</f>
        <v>108</v>
      </c>
      <c r="G92" s="77">
        <f>D92*F92</f>
        <v>0</v>
      </c>
      <c r="H92" s="238"/>
      <c r="I92" s="283">
        <v>108</v>
      </c>
      <c r="J92" s="282">
        <f>I92*D92</f>
        <v>0</v>
      </c>
      <c r="K92" s="275"/>
      <c r="L92" s="280"/>
      <c r="M92" s="281"/>
      <c r="N92" s="275"/>
      <c r="O92" s="280"/>
      <c r="P92" s="281"/>
      <c r="Q92" s="275"/>
      <c r="R92" s="280"/>
      <c r="S92" s="281"/>
      <c r="T92" s="275"/>
      <c r="U92" s="280"/>
      <c r="V92" s="281"/>
      <c r="W92" s="275"/>
      <c r="X92" s="280"/>
      <c r="Y92" s="281"/>
      <c r="Z92" s="275"/>
      <c r="AA92" s="280"/>
      <c r="AB92" s="281"/>
      <c r="AC92" s="127"/>
      <c r="AD92" s="240"/>
      <c r="AE92" s="241"/>
    </row>
    <row r="93" spans="1:70" ht="13">
      <c r="A93" s="94" t="s">
        <v>118</v>
      </c>
      <c r="B93" s="277" t="s">
        <v>210</v>
      </c>
      <c r="C93" s="278" t="s">
        <v>2</v>
      </c>
      <c r="D93" s="279"/>
      <c r="F93" s="51">
        <f t="shared" ref="F93:F96" si="22">I93</f>
        <v>90</v>
      </c>
      <c r="G93" s="77">
        <f t="shared" ref="G93:G96" si="23">D93*F93</f>
        <v>0</v>
      </c>
      <c r="H93" s="238"/>
      <c r="I93" s="283">
        <v>90</v>
      </c>
      <c r="J93" s="282">
        <f>I93*D93</f>
        <v>0</v>
      </c>
      <c r="K93" s="275"/>
      <c r="L93" s="280"/>
      <c r="M93" s="281"/>
      <c r="N93" s="275"/>
      <c r="O93" s="280"/>
      <c r="P93" s="281"/>
      <c r="Q93" s="275"/>
      <c r="R93" s="280"/>
      <c r="S93" s="281"/>
      <c r="T93" s="275"/>
      <c r="U93" s="280"/>
      <c r="V93" s="281"/>
      <c r="W93" s="275"/>
      <c r="X93" s="280"/>
      <c r="Y93" s="281"/>
      <c r="Z93" s="275"/>
      <c r="AA93" s="280"/>
      <c r="AB93" s="281"/>
      <c r="AC93" s="127"/>
      <c r="AD93" s="240"/>
      <c r="AE93" s="241"/>
    </row>
    <row r="94" spans="1:70" ht="13">
      <c r="A94" s="94" t="s">
        <v>119</v>
      </c>
      <c r="B94" s="277" t="s">
        <v>211</v>
      </c>
      <c r="C94" s="278" t="s">
        <v>2</v>
      </c>
      <c r="D94" s="279"/>
      <c r="F94" s="51">
        <f t="shared" si="22"/>
        <v>90</v>
      </c>
      <c r="G94" s="77">
        <f t="shared" si="23"/>
        <v>0</v>
      </c>
      <c r="H94" s="238"/>
      <c r="I94" s="283">
        <v>90</v>
      </c>
      <c r="J94" s="282">
        <f>I94*D94</f>
        <v>0</v>
      </c>
      <c r="K94" s="275"/>
      <c r="L94" s="280"/>
      <c r="M94" s="281"/>
      <c r="N94" s="275"/>
      <c r="O94" s="280"/>
      <c r="P94" s="281"/>
      <c r="Q94" s="275"/>
      <c r="R94" s="280"/>
      <c r="S94" s="281"/>
      <c r="T94" s="275"/>
      <c r="U94" s="280"/>
      <c r="V94" s="281"/>
      <c r="W94" s="275"/>
      <c r="X94" s="280"/>
      <c r="Y94" s="281"/>
      <c r="Z94" s="275"/>
      <c r="AA94" s="280"/>
      <c r="AB94" s="281"/>
      <c r="AC94" s="127"/>
      <c r="AD94" s="240"/>
      <c r="AE94" s="241"/>
    </row>
    <row r="95" spans="1:70" ht="13">
      <c r="A95" s="94" t="s">
        <v>120</v>
      </c>
      <c r="B95" s="277" t="s">
        <v>212</v>
      </c>
      <c r="C95" s="278" t="s">
        <v>2</v>
      </c>
      <c r="D95" s="279"/>
      <c r="F95" s="51">
        <f t="shared" si="22"/>
        <v>90</v>
      </c>
      <c r="G95" s="77">
        <f t="shared" si="23"/>
        <v>0</v>
      </c>
      <c r="H95" s="238"/>
      <c r="I95" s="283">
        <v>90</v>
      </c>
      <c r="J95" s="282">
        <f>I95*D95</f>
        <v>0</v>
      </c>
      <c r="K95" s="275"/>
      <c r="L95" s="280"/>
      <c r="M95" s="281"/>
      <c r="N95" s="275"/>
      <c r="O95" s="280"/>
      <c r="P95" s="281"/>
      <c r="Q95" s="275"/>
      <c r="R95" s="280"/>
      <c r="S95" s="281"/>
      <c r="T95" s="275"/>
      <c r="U95" s="280"/>
      <c r="V95" s="281"/>
      <c r="W95" s="275"/>
      <c r="X95" s="280"/>
      <c r="Y95" s="281"/>
      <c r="Z95" s="275"/>
      <c r="AA95" s="280"/>
      <c r="AB95" s="281"/>
      <c r="AC95" s="127"/>
      <c r="AD95" s="240"/>
      <c r="AE95" s="241"/>
    </row>
    <row r="96" spans="1:70" ht="13">
      <c r="A96" s="94" t="s">
        <v>121</v>
      </c>
      <c r="B96" s="277" t="s">
        <v>213</v>
      </c>
      <c r="C96" s="278" t="s">
        <v>2</v>
      </c>
      <c r="D96" s="279"/>
      <c r="F96" s="51">
        <f t="shared" si="22"/>
        <v>90</v>
      </c>
      <c r="G96" s="77">
        <f t="shared" si="23"/>
        <v>0</v>
      </c>
      <c r="H96" s="238"/>
      <c r="I96" s="283">
        <v>90</v>
      </c>
      <c r="J96" s="282">
        <f>I96*D96</f>
        <v>0</v>
      </c>
      <c r="K96" s="275"/>
      <c r="L96" s="280"/>
      <c r="M96" s="281"/>
      <c r="N96" s="275"/>
      <c r="O96" s="280"/>
      <c r="P96" s="281"/>
      <c r="Q96" s="275"/>
      <c r="R96" s="280"/>
      <c r="S96" s="281"/>
      <c r="T96" s="275"/>
      <c r="U96" s="280"/>
      <c r="V96" s="281"/>
      <c r="W96" s="275"/>
      <c r="X96" s="280"/>
      <c r="Y96" s="281"/>
      <c r="Z96" s="275"/>
      <c r="AA96" s="280"/>
      <c r="AB96" s="281"/>
      <c r="AC96" s="127"/>
      <c r="AD96" s="240"/>
      <c r="AE96" s="241"/>
    </row>
    <row r="97" spans="1:70" ht="13">
      <c r="A97" s="231"/>
      <c r="B97" s="304" t="s">
        <v>214</v>
      </c>
      <c r="C97" s="71"/>
      <c r="D97" s="72"/>
      <c r="F97" s="76"/>
      <c r="G97" s="73"/>
      <c r="H97" s="209"/>
      <c r="I97" s="177"/>
      <c r="J97" s="73"/>
      <c r="K97" s="47"/>
      <c r="L97" s="74"/>
      <c r="M97" s="101"/>
      <c r="N97" s="169"/>
      <c r="O97" s="153"/>
      <c r="P97" s="101"/>
      <c r="Q97" s="169"/>
      <c r="R97" s="153"/>
      <c r="S97" s="101"/>
      <c r="T97" s="169"/>
      <c r="U97" s="153"/>
      <c r="V97" s="101"/>
      <c r="W97" s="169"/>
      <c r="X97" s="153"/>
      <c r="Y97" s="193"/>
      <c r="Z97" s="169"/>
      <c r="AA97" s="153"/>
      <c r="AB97" s="101"/>
      <c r="AC97" s="169"/>
      <c r="AD97" s="153"/>
      <c r="AE97" s="101"/>
      <c r="AF97" s="127"/>
    </row>
    <row r="98" spans="1:70" ht="13">
      <c r="A98" s="230" t="s">
        <v>122</v>
      </c>
      <c r="B98" s="68" t="s">
        <v>215</v>
      </c>
      <c r="C98" s="15" t="s">
        <v>2</v>
      </c>
      <c r="D98" s="16"/>
      <c r="F98" s="17">
        <f>SUM(+I98+L98+O98+R98+U98+X98+AA98+AD98)</f>
        <v>24</v>
      </c>
      <c r="G98" s="77">
        <f t="shared" si="18"/>
        <v>0</v>
      </c>
      <c r="H98" s="209"/>
      <c r="I98" s="144"/>
      <c r="J98" s="102"/>
      <c r="K98" s="47"/>
      <c r="L98" s="90"/>
      <c r="M98" s="116"/>
      <c r="N98" s="169"/>
      <c r="O98" s="154"/>
      <c r="P98" s="116"/>
      <c r="Q98" s="169"/>
      <c r="R98" s="154"/>
      <c r="S98" s="116"/>
      <c r="T98" s="169"/>
      <c r="U98" s="154"/>
      <c r="V98" s="116"/>
      <c r="W98" s="169"/>
      <c r="X98" s="154"/>
      <c r="Y98" s="139"/>
      <c r="Z98" s="169"/>
      <c r="AA98" s="154"/>
      <c r="AB98" s="116"/>
      <c r="AC98" s="169"/>
      <c r="AD98" s="158">
        <v>24</v>
      </c>
      <c r="AE98" s="98">
        <f t="shared" ref="AE98:AE109" si="24">D98*AD98</f>
        <v>0</v>
      </c>
      <c r="AF98" s="127"/>
    </row>
    <row r="99" spans="1:70" ht="13">
      <c r="A99" s="230" t="s">
        <v>123</v>
      </c>
      <c r="B99" s="68" t="s">
        <v>216</v>
      </c>
      <c r="C99" s="15" t="s">
        <v>2</v>
      </c>
      <c r="D99" s="16"/>
      <c r="F99" s="17">
        <f t="shared" ref="F99:F109" si="25">SUM(+I99+L99+O99+R99+U99+X99+AA99+AD99)</f>
        <v>16</v>
      </c>
      <c r="G99" s="77">
        <f t="shared" si="18"/>
        <v>0</v>
      </c>
      <c r="H99" s="209"/>
      <c r="I99" s="144"/>
      <c r="J99" s="102"/>
      <c r="K99" s="47"/>
      <c r="L99" s="90"/>
      <c r="M99" s="116"/>
      <c r="N99" s="169"/>
      <c r="O99" s="154"/>
      <c r="P99" s="116"/>
      <c r="Q99" s="169"/>
      <c r="R99" s="154"/>
      <c r="S99" s="116"/>
      <c r="T99" s="169"/>
      <c r="U99" s="154"/>
      <c r="V99" s="116"/>
      <c r="W99" s="169"/>
      <c r="X99" s="154"/>
      <c r="Y99" s="139"/>
      <c r="Z99" s="169"/>
      <c r="AA99" s="154"/>
      <c r="AB99" s="116"/>
      <c r="AC99" s="169"/>
      <c r="AD99" s="158">
        <v>16</v>
      </c>
      <c r="AE99" s="98">
        <f t="shared" si="24"/>
        <v>0</v>
      </c>
      <c r="AF99" s="127"/>
    </row>
    <row r="100" spans="1:70" ht="13">
      <c r="A100" s="230" t="s">
        <v>124</v>
      </c>
      <c r="B100" s="68" t="s">
        <v>226</v>
      </c>
      <c r="C100" s="15" t="s">
        <v>2</v>
      </c>
      <c r="D100" s="16"/>
      <c r="F100" s="17">
        <f t="shared" si="25"/>
        <v>16</v>
      </c>
      <c r="G100" s="77">
        <f t="shared" si="18"/>
        <v>0</v>
      </c>
      <c r="H100" s="209"/>
      <c r="I100" s="144"/>
      <c r="J100" s="102"/>
      <c r="K100" s="47"/>
      <c r="L100" s="90"/>
      <c r="M100" s="116"/>
      <c r="N100" s="169"/>
      <c r="O100" s="154"/>
      <c r="P100" s="116"/>
      <c r="Q100" s="169"/>
      <c r="R100" s="154"/>
      <c r="S100" s="116"/>
      <c r="T100" s="169"/>
      <c r="U100" s="154"/>
      <c r="V100" s="116"/>
      <c r="W100" s="169"/>
      <c r="X100" s="154"/>
      <c r="Y100" s="139"/>
      <c r="Z100" s="169"/>
      <c r="AA100" s="154"/>
      <c r="AB100" s="116"/>
      <c r="AC100" s="169"/>
      <c r="AD100" s="158">
        <v>16</v>
      </c>
      <c r="AE100" s="98">
        <f t="shared" si="24"/>
        <v>0</v>
      </c>
      <c r="AF100" s="127"/>
    </row>
    <row r="101" spans="1:70" ht="13">
      <c r="A101" s="230" t="s">
        <v>125</v>
      </c>
      <c r="B101" s="68" t="s">
        <v>218</v>
      </c>
      <c r="C101" s="15" t="s">
        <v>2</v>
      </c>
      <c r="D101" s="16"/>
      <c r="F101" s="17">
        <f t="shared" si="25"/>
        <v>24</v>
      </c>
      <c r="G101" s="77">
        <f t="shared" si="18"/>
        <v>0</v>
      </c>
      <c r="H101" s="209"/>
      <c r="I101" s="144"/>
      <c r="J101" s="102"/>
      <c r="K101" s="47"/>
      <c r="L101" s="90"/>
      <c r="M101" s="116"/>
      <c r="N101" s="169"/>
      <c r="O101" s="154"/>
      <c r="P101" s="116"/>
      <c r="Q101" s="169"/>
      <c r="R101" s="154"/>
      <c r="S101" s="116"/>
      <c r="T101" s="169"/>
      <c r="U101" s="154"/>
      <c r="V101" s="116"/>
      <c r="W101" s="169"/>
      <c r="X101" s="154"/>
      <c r="Y101" s="139"/>
      <c r="Z101" s="169"/>
      <c r="AA101" s="154"/>
      <c r="AB101" s="116"/>
      <c r="AC101" s="169"/>
      <c r="AD101" s="158">
        <v>24</v>
      </c>
      <c r="AE101" s="98">
        <f t="shared" si="24"/>
        <v>0</v>
      </c>
      <c r="AF101" s="127"/>
    </row>
    <row r="102" spans="1:70" ht="13">
      <c r="A102" s="230" t="s">
        <v>126</v>
      </c>
      <c r="B102" s="68" t="s">
        <v>217</v>
      </c>
      <c r="C102" s="15" t="s">
        <v>2</v>
      </c>
      <c r="D102" s="16"/>
      <c r="F102" s="17">
        <f t="shared" si="25"/>
        <v>24</v>
      </c>
      <c r="G102" s="77">
        <f t="shared" si="18"/>
        <v>0</v>
      </c>
      <c r="H102" s="209"/>
      <c r="I102" s="144"/>
      <c r="J102" s="102"/>
      <c r="K102" s="47"/>
      <c r="L102" s="90"/>
      <c r="M102" s="116"/>
      <c r="N102" s="169"/>
      <c r="O102" s="154"/>
      <c r="P102" s="116"/>
      <c r="Q102" s="169"/>
      <c r="R102" s="154"/>
      <c r="S102" s="116"/>
      <c r="T102" s="169"/>
      <c r="U102" s="154"/>
      <c r="V102" s="116"/>
      <c r="W102" s="169"/>
      <c r="X102" s="154"/>
      <c r="Y102" s="139"/>
      <c r="Z102" s="169"/>
      <c r="AA102" s="154"/>
      <c r="AB102" s="116"/>
      <c r="AC102" s="169"/>
      <c r="AD102" s="158">
        <v>24</v>
      </c>
      <c r="AE102" s="98">
        <f t="shared" si="24"/>
        <v>0</v>
      </c>
      <c r="AF102" s="127"/>
    </row>
    <row r="103" spans="1:70" ht="13">
      <c r="A103" s="230" t="s">
        <v>127</v>
      </c>
      <c r="B103" s="68" t="s">
        <v>219</v>
      </c>
      <c r="C103" s="15" t="s">
        <v>2</v>
      </c>
      <c r="D103" s="16"/>
      <c r="F103" s="17">
        <f t="shared" si="25"/>
        <v>8</v>
      </c>
      <c r="G103" s="77">
        <f t="shared" si="18"/>
        <v>0</v>
      </c>
      <c r="H103" s="209"/>
      <c r="I103" s="144"/>
      <c r="J103" s="102"/>
      <c r="K103" s="47"/>
      <c r="L103" s="90"/>
      <c r="M103" s="116"/>
      <c r="N103" s="169"/>
      <c r="O103" s="154"/>
      <c r="P103" s="116"/>
      <c r="Q103" s="169"/>
      <c r="R103" s="154"/>
      <c r="S103" s="116"/>
      <c r="T103" s="169"/>
      <c r="U103" s="154"/>
      <c r="V103" s="116"/>
      <c r="W103" s="169"/>
      <c r="X103" s="154"/>
      <c r="Y103" s="139"/>
      <c r="Z103" s="169"/>
      <c r="AA103" s="154"/>
      <c r="AB103" s="116"/>
      <c r="AC103" s="169"/>
      <c r="AD103" s="158">
        <v>8</v>
      </c>
      <c r="AE103" s="98">
        <f t="shared" si="24"/>
        <v>0</v>
      </c>
      <c r="AF103" s="127"/>
    </row>
    <row r="104" spans="1:70" ht="13">
      <c r="A104" s="230" t="s">
        <v>128</v>
      </c>
      <c r="B104" s="68" t="s">
        <v>220</v>
      </c>
      <c r="C104" s="15" t="s">
        <v>2</v>
      </c>
      <c r="D104" s="16"/>
      <c r="F104" s="17">
        <f t="shared" si="25"/>
        <v>16</v>
      </c>
      <c r="G104" s="77">
        <f t="shared" si="18"/>
        <v>0</v>
      </c>
      <c r="H104" s="209"/>
      <c r="I104" s="144"/>
      <c r="J104" s="102"/>
      <c r="K104" s="47"/>
      <c r="L104" s="90"/>
      <c r="M104" s="116"/>
      <c r="N104" s="169"/>
      <c r="O104" s="154"/>
      <c r="P104" s="116"/>
      <c r="Q104" s="169"/>
      <c r="R104" s="154"/>
      <c r="S104" s="116"/>
      <c r="T104" s="169"/>
      <c r="U104" s="154"/>
      <c r="V104" s="116"/>
      <c r="W104" s="169"/>
      <c r="X104" s="154"/>
      <c r="Y104" s="139"/>
      <c r="Z104" s="169"/>
      <c r="AA104" s="154"/>
      <c r="AB104" s="116"/>
      <c r="AC104" s="169"/>
      <c r="AD104" s="158">
        <v>16</v>
      </c>
      <c r="AE104" s="98">
        <f t="shared" si="24"/>
        <v>0</v>
      </c>
      <c r="AF104" s="127"/>
    </row>
    <row r="105" spans="1:70" ht="13">
      <c r="A105" s="230" t="s">
        <v>338</v>
      </c>
      <c r="B105" s="68" t="s">
        <v>221</v>
      </c>
      <c r="C105" s="15" t="s">
        <v>2</v>
      </c>
      <c r="D105" s="16"/>
      <c r="F105" s="17">
        <f t="shared" si="25"/>
        <v>16</v>
      </c>
      <c r="G105" s="77">
        <f t="shared" si="18"/>
        <v>0</v>
      </c>
      <c r="H105" s="209"/>
      <c r="I105" s="144"/>
      <c r="J105" s="102"/>
      <c r="K105" s="47"/>
      <c r="L105" s="90"/>
      <c r="M105" s="116"/>
      <c r="N105" s="169"/>
      <c r="O105" s="154"/>
      <c r="P105" s="116"/>
      <c r="Q105" s="169"/>
      <c r="R105" s="154"/>
      <c r="S105" s="116"/>
      <c r="T105" s="169"/>
      <c r="U105" s="154"/>
      <c r="V105" s="116"/>
      <c r="W105" s="169"/>
      <c r="X105" s="154"/>
      <c r="Y105" s="139"/>
      <c r="Z105" s="169"/>
      <c r="AA105" s="154"/>
      <c r="AB105" s="116"/>
      <c r="AC105" s="169"/>
      <c r="AD105" s="158">
        <v>16</v>
      </c>
      <c r="AE105" s="98">
        <f t="shared" si="24"/>
        <v>0</v>
      </c>
      <c r="AF105" s="127"/>
    </row>
    <row r="106" spans="1:70" ht="13">
      <c r="A106" s="230" t="s">
        <v>129</v>
      </c>
      <c r="B106" s="68" t="s">
        <v>222</v>
      </c>
      <c r="C106" s="15" t="s">
        <v>2</v>
      </c>
      <c r="D106" s="16"/>
      <c r="F106" s="17">
        <f t="shared" si="25"/>
        <v>16</v>
      </c>
      <c r="G106" s="77">
        <f t="shared" si="18"/>
        <v>0</v>
      </c>
      <c r="H106" s="209"/>
      <c r="I106" s="144"/>
      <c r="J106" s="102"/>
      <c r="K106" s="47"/>
      <c r="L106" s="90"/>
      <c r="M106" s="116"/>
      <c r="N106" s="169"/>
      <c r="O106" s="154"/>
      <c r="P106" s="116"/>
      <c r="Q106" s="169"/>
      <c r="R106" s="154"/>
      <c r="S106" s="116"/>
      <c r="T106" s="169"/>
      <c r="U106" s="154"/>
      <c r="V106" s="116"/>
      <c r="W106" s="169"/>
      <c r="X106" s="154"/>
      <c r="Y106" s="139"/>
      <c r="Z106" s="169"/>
      <c r="AA106" s="154"/>
      <c r="AB106" s="116"/>
      <c r="AC106" s="169"/>
      <c r="AD106" s="158">
        <v>16</v>
      </c>
      <c r="AE106" s="98">
        <f t="shared" si="24"/>
        <v>0</v>
      </c>
      <c r="AF106" s="127"/>
    </row>
    <row r="107" spans="1:70" ht="13">
      <c r="A107" s="230" t="s">
        <v>130</v>
      </c>
      <c r="B107" s="68" t="s">
        <v>223</v>
      </c>
      <c r="C107" s="15" t="s">
        <v>2</v>
      </c>
      <c r="D107" s="16"/>
      <c r="F107" s="17">
        <f t="shared" si="25"/>
        <v>8</v>
      </c>
      <c r="G107" s="77">
        <f t="shared" si="18"/>
        <v>0</v>
      </c>
      <c r="H107" s="209"/>
      <c r="I107" s="144"/>
      <c r="J107" s="102"/>
      <c r="K107" s="47"/>
      <c r="L107" s="90"/>
      <c r="M107" s="116"/>
      <c r="N107" s="169"/>
      <c r="O107" s="154"/>
      <c r="P107" s="116"/>
      <c r="Q107" s="169"/>
      <c r="R107" s="154"/>
      <c r="S107" s="116"/>
      <c r="T107" s="285"/>
      <c r="U107" s="187"/>
      <c r="V107" s="116"/>
      <c r="W107" s="285"/>
      <c r="X107" s="187"/>
      <c r="Y107" s="139"/>
      <c r="Z107" s="285"/>
      <c r="AA107" s="187"/>
      <c r="AB107" s="116"/>
      <c r="AC107" s="169"/>
      <c r="AD107" s="158">
        <v>8</v>
      </c>
      <c r="AE107" s="98">
        <f t="shared" si="24"/>
        <v>0</v>
      </c>
      <c r="AF107" s="127"/>
    </row>
    <row r="108" spans="1:70" ht="13">
      <c r="A108" s="230" t="s">
        <v>131</v>
      </c>
      <c r="B108" s="68" t="s">
        <v>224</v>
      </c>
      <c r="C108" s="15" t="s">
        <v>2</v>
      </c>
      <c r="D108" s="16"/>
      <c r="F108" s="17">
        <f t="shared" si="25"/>
        <v>8</v>
      </c>
      <c r="G108" s="77">
        <f t="shared" si="18"/>
        <v>0</v>
      </c>
      <c r="H108" s="209"/>
      <c r="I108" s="144"/>
      <c r="J108" s="102"/>
      <c r="K108" s="47"/>
      <c r="L108" s="90"/>
      <c r="M108" s="116"/>
      <c r="N108" s="169"/>
      <c r="O108" s="154"/>
      <c r="P108" s="116"/>
      <c r="Q108" s="169"/>
      <c r="R108" s="154"/>
      <c r="S108" s="116"/>
      <c r="T108" s="285"/>
      <c r="U108" s="187"/>
      <c r="V108" s="116"/>
      <c r="W108" s="285"/>
      <c r="X108" s="187"/>
      <c r="Y108" s="139"/>
      <c r="Z108" s="285"/>
      <c r="AA108" s="187"/>
      <c r="AB108" s="116"/>
      <c r="AC108" s="169"/>
      <c r="AD108" s="158">
        <v>8</v>
      </c>
      <c r="AE108" s="98">
        <f t="shared" si="24"/>
        <v>0</v>
      </c>
      <c r="AF108" s="127"/>
    </row>
    <row r="109" spans="1:70" s="75" customFormat="1" ht="13">
      <c r="A109" s="230" t="s">
        <v>339</v>
      </c>
      <c r="B109" s="68" t="s">
        <v>225</v>
      </c>
      <c r="C109" s="15" t="s">
        <v>2</v>
      </c>
      <c r="D109" s="16"/>
      <c r="E109" s="1"/>
      <c r="F109" s="17">
        <f t="shared" si="25"/>
        <v>24</v>
      </c>
      <c r="G109" s="77">
        <f t="shared" si="18"/>
        <v>0</v>
      </c>
      <c r="H109" s="209"/>
      <c r="I109" s="144"/>
      <c r="J109" s="102"/>
      <c r="K109" s="47"/>
      <c r="L109" s="90"/>
      <c r="M109" s="116"/>
      <c r="N109" s="169"/>
      <c r="O109" s="154"/>
      <c r="P109" s="116"/>
      <c r="Q109" s="169"/>
      <c r="R109" s="154"/>
      <c r="S109" s="116"/>
      <c r="T109" s="285"/>
      <c r="U109" s="187"/>
      <c r="V109" s="116"/>
      <c r="W109" s="285"/>
      <c r="X109" s="187"/>
      <c r="Y109" s="139"/>
      <c r="Z109" s="285"/>
      <c r="AA109" s="187"/>
      <c r="AB109" s="116"/>
      <c r="AC109" s="169"/>
      <c r="AD109" s="158">
        <v>24</v>
      </c>
      <c r="AE109" s="98">
        <f t="shared" si="24"/>
        <v>0</v>
      </c>
      <c r="AF109" s="127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</row>
    <row r="110" spans="1:70" ht="13">
      <c r="A110" s="231"/>
      <c r="B110" s="304" t="s">
        <v>232</v>
      </c>
      <c r="C110" s="71"/>
      <c r="D110" s="72"/>
      <c r="F110" s="76"/>
      <c r="G110" s="73"/>
      <c r="H110" s="209"/>
      <c r="I110" s="177"/>
      <c r="J110" s="73"/>
      <c r="K110" s="47"/>
      <c r="L110" s="74"/>
      <c r="M110" s="101"/>
      <c r="N110" s="169"/>
      <c r="O110" s="153"/>
      <c r="P110" s="101"/>
      <c r="Q110" s="169"/>
      <c r="R110" s="153"/>
      <c r="S110" s="101"/>
      <c r="T110" s="285"/>
      <c r="U110" s="244"/>
      <c r="V110" s="101"/>
      <c r="W110" s="285"/>
      <c r="X110" s="244"/>
      <c r="Y110" s="193"/>
      <c r="Z110" s="285"/>
      <c r="AA110" s="244"/>
      <c r="AB110" s="101"/>
      <c r="AC110" s="169"/>
      <c r="AD110" s="153"/>
      <c r="AE110" s="101"/>
      <c r="AF110" s="127"/>
    </row>
    <row r="111" spans="1:70" s="75" customFormat="1" ht="13">
      <c r="A111" s="230" t="s">
        <v>132</v>
      </c>
      <c r="B111" s="68" t="s">
        <v>227</v>
      </c>
      <c r="C111" s="15" t="s">
        <v>2</v>
      </c>
      <c r="D111" s="16"/>
      <c r="E111" s="1"/>
      <c r="F111" s="17">
        <f>SUM(I111+L111+O111+R111+U111+X111+AA111+AD111)</f>
        <v>51</v>
      </c>
      <c r="G111" s="77">
        <f t="shared" si="18"/>
        <v>0</v>
      </c>
      <c r="H111" s="209"/>
      <c r="I111" s="144"/>
      <c r="J111" s="102"/>
      <c r="K111" s="47"/>
      <c r="L111" s="90"/>
      <c r="M111" s="116"/>
      <c r="N111" s="169"/>
      <c r="O111" s="154"/>
      <c r="P111" s="116"/>
      <c r="Q111" s="169"/>
      <c r="R111" s="154"/>
      <c r="S111" s="116"/>
      <c r="T111" s="285"/>
      <c r="U111" s="187"/>
      <c r="V111" s="116"/>
      <c r="W111" s="285"/>
      <c r="X111" s="160">
        <f>31+20</f>
        <v>51</v>
      </c>
      <c r="Y111" s="140">
        <f>X111*D111</f>
        <v>0</v>
      </c>
      <c r="Z111" s="285"/>
      <c r="AA111" s="187"/>
      <c r="AB111" s="116"/>
      <c r="AC111" s="169"/>
      <c r="AD111" s="154"/>
      <c r="AE111" s="116"/>
      <c r="AF111" s="127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</row>
    <row r="112" spans="1:70" ht="13">
      <c r="A112" s="230" t="s">
        <v>133</v>
      </c>
      <c r="B112" s="68" t="s">
        <v>228</v>
      </c>
      <c r="C112" s="15" t="s">
        <v>2</v>
      </c>
      <c r="D112" s="16"/>
      <c r="F112" s="17">
        <f t="shared" ref="F112:F118" si="26">SUM(I112+L112+O112+R112+U112+X112+AA112+AD112)</f>
        <v>22</v>
      </c>
      <c r="G112" s="77">
        <f t="shared" si="18"/>
        <v>0</v>
      </c>
      <c r="H112" s="209"/>
      <c r="I112" s="144"/>
      <c r="J112" s="102"/>
      <c r="K112" s="47"/>
      <c r="L112" s="90"/>
      <c r="M112" s="116"/>
      <c r="N112" s="169"/>
      <c r="O112" s="154"/>
      <c r="P112" s="116"/>
      <c r="Q112" s="169"/>
      <c r="R112" s="154"/>
      <c r="S112" s="116"/>
      <c r="T112" s="285"/>
      <c r="U112" s="187"/>
      <c r="V112" s="116"/>
      <c r="W112" s="285"/>
      <c r="X112" s="160">
        <f>6+16</f>
        <v>22</v>
      </c>
      <c r="Y112" s="140">
        <f t="shared" ref="Y112:Y118" si="27">X112*D112</f>
        <v>0</v>
      </c>
      <c r="Z112" s="285"/>
      <c r="AA112" s="187"/>
      <c r="AB112" s="116"/>
      <c r="AC112" s="169"/>
      <c r="AD112" s="154"/>
      <c r="AE112" s="116"/>
      <c r="AF112" s="127"/>
    </row>
    <row r="113" spans="1:32" ht="13">
      <c r="A113" s="230" t="s">
        <v>134</v>
      </c>
      <c r="B113" s="68" t="s">
        <v>229</v>
      </c>
      <c r="C113" s="15" t="s">
        <v>2</v>
      </c>
      <c r="D113" s="16"/>
      <c r="F113" s="17">
        <f t="shared" si="26"/>
        <v>42</v>
      </c>
      <c r="G113" s="77">
        <f t="shared" si="18"/>
        <v>0</v>
      </c>
      <c r="H113" s="209"/>
      <c r="I113" s="144"/>
      <c r="J113" s="102"/>
      <c r="K113" s="47"/>
      <c r="L113" s="90"/>
      <c r="M113" s="116"/>
      <c r="N113" s="169"/>
      <c r="O113" s="154"/>
      <c r="P113" s="116"/>
      <c r="Q113" s="169"/>
      <c r="R113" s="154"/>
      <c r="S113" s="116"/>
      <c r="T113" s="285"/>
      <c r="U113" s="187"/>
      <c r="V113" s="116"/>
      <c r="W113" s="285"/>
      <c r="X113" s="160">
        <f>6+36</f>
        <v>42</v>
      </c>
      <c r="Y113" s="140">
        <f t="shared" si="27"/>
        <v>0</v>
      </c>
      <c r="Z113" s="285"/>
      <c r="AA113" s="187"/>
      <c r="AB113" s="116"/>
      <c r="AC113" s="169"/>
      <c r="AD113" s="154"/>
      <c r="AE113" s="116"/>
      <c r="AF113" s="127"/>
    </row>
    <row r="114" spans="1:32" ht="13">
      <c r="A114" s="230" t="s">
        <v>135</v>
      </c>
      <c r="B114" s="68" t="s">
        <v>234</v>
      </c>
      <c r="C114" s="15" t="s">
        <v>2</v>
      </c>
      <c r="D114" s="16"/>
      <c r="F114" s="17">
        <f t="shared" si="26"/>
        <v>4</v>
      </c>
      <c r="G114" s="77">
        <f t="shared" si="18"/>
        <v>0</v>
      </c>
      <c r="H114" s="209"/>
      <c r="I114" s="144"/>
      <c r="J114" s="102"/>
      <c r="K114" s="47"/>
      <c r="L114" s="90"/>
      <c r="M114" s="116"/>
      <c r="N114" s="169"/>
      <c r="O114" s="154"/>
      <c r="P114" s="116"/>
      <c r="Q114" s="169"/>
      <c r="R114" s="154"/>
      <c r="S114" s="116"/>
      <c r="T114" s="285"/>
      <c r="U114" s="187"/>
      <c r="V114" s="116"/>
      <c r="W114" s="285"/>
      <c r="X114" s="160">
        <f>4</f>
        <v>4</v>
      </c>
      <c r="Y114" s="140">
        <f t="shared" si="27"/>
        <v>0</v>
      </c>
      <c r="Z114" s="285"/>
      <c r="AA114" s="187"/>
      <c r="AB114" s="116"/>
      <c r="AC114" s="169"/>
      <c r="AD114" s="154"/>
      <c r="AE114" s="116"/>
      <c r="AF114" s="127"/>
    </row>
    <row r="115" spans="1:32" ht="13">
      <c r="A115" s="230" t="s">
        <v>136</v>
      </c>
      <c r="B115" s="68" t="s">
        <v>235</v>
      </c>
      <c r="C115" s="15" t="s">
        <v>2</v>
      </c>
      <c r="D115" s="16"/>
      <c r="F115" s="17">
        <f t="shared" si="26"/>
        <v>2</v>
      </c>
      <c r="G115" s="77">
        <f t="shared" si="18"/>
        <v>0</v>
      </c>
      <c r="H115" s="209"/>
      <c r="I115" s="144"/>
      <c r="J115" s="102"/>
      <c r="K115" s="47"/>
      <c r="L115" s="90"/>
      <c r="M115" s="116"/>
      <c r="N115" s="169"/>
      <c r="O115" s="154"/>
      <c r="P115" s="116"/>
      <c r="Q115" s="169"/>
      <c r="R115" s="154"/>
      <c r="S115" s="116"/>
      <c r="T115" s="285"/>
      <c r="U115" s="187"/>
      <c r="V115" s="116"/>
      <c r="W115" s="285"/>
      <c r="X115" s="160">
        <f>2</f>
        <v>2</v>
      </c>
      <c r="Y115" s="140">
        <f t="shared" si="27"/>
        <v>0</v>
      </c>
      <c r="Z115" s="285"/>
      <c r="AA115" s="187"/>
      <c r="AB115" s="116"/>
      <c r="AC115" s="169"/>
      <c r="AD115" s="154"/>
      <c r="AE115" s="116"/>
      <c r="AF115" s="127"/>
    </row>
    <row r="116" spans="1:32" ht="13">
      <c r="A116" s="230" t="s">
        <v>137</v>
      </c>
      <c r="B116" s="68" t="s">
        <v>230</v>
      </c>
      <c r="C116" s="15" t="s">
        <v>2</v>
      </c>
      <c r="D116" s="16"/>
      <c r="F116" s="17">
        <f t="shared" si="26"/>
        <v>30</v>
      </c>
      <c r="G116" s="77">
        <f t="shared" si="18"/>
        <v>0</v>
      </c>
      <c r="H116" s="209"/>
      <c r="I116" s="144"/>
      <c r="J116" s="102"/>
      <c r="K116" s="47"/>
      <c r="L116" s="90"/>
      <c r="M116" s="116"/>
      <c r="N116" s="169"/>
      <c r="O116" s="154"/>
      <c r="P116" s="116"/>
      <c r="Q116" s="169"/>
      <c r="R116" s="154"/>
      <c r="S116" s="116"/>
      <c r="T116" s="285"/>
      <c r="U116" s="187"/>
      <c r="V116" s="116"/>
      <c r="W116" s="285"/>
      <c r="X116" s="160">
        <f>24+6</f>
        <v>30</v>
      </c>
      <c r="Y116" s="140">
        <f t="shared" si="27"/>
        <v>0</v>
      </c>
      <c r="Z116" s="285"/>
      <c r="AA116" s="187"/>
      <c r="AB116" s="116"/>
      <c r="AC116" s="169"/>
      <c r="AD116" s="154"/>
      <c r="AE116" s="116"/>
      <c r="AF116" s="127"/>
    </row>
    <row r="117" spans="1:32" ht="13">
      <c r="A117" s="230" t="s">
        <v>138</v>
      </c>
      <c r="B117" s="68" t="s">
        <v>231</v>
      </c>
      <c r="C117" s="15" t="s">
        <v>2</v>
      </c>
      <c r="D117" s="16"/>
      <c r="F117" s="17">
        <f t="shared" si="26"/>
        <v>9</v>
      </c>
      <c r="G117" s="77">
        <f t="shared" si="18"/>
        <v>0</v>
      </c>
      <c r="H117" s="209"/>
      <c r="I117" s="144"/>
      <c r="J117" s="102"/>
      <c r="K117" s="47"/>
      <c r="L117" s="90"/>
      <c r="M117" s="116"/>
      <c r="N117" s="169"/>
      <c r="O117" s="154"/>
      <c r="P117" s="116"/>
      <c r="Q117" s="169"/>
      <c r="R117" s="154"/>
      <c r="S117" s="116"/>
      <c r="T117" s="285"/>
      <c r="U117" s="187"/>
      <c r="V117" s="116"/>
      <c r="W117" s="285"/>
      <c r="X117" s="160">
        <f>8+1</f>
        <v>9</v>
      </c>
      <c r="Y117" s="140">
        <f t="shared" si="27"/>
        <v>0</v>
      </c>
      <c r="Z117" s="285"/>
      <c r="AA117" s="187"/>
      <c r="AB117" s="116"/>
      <c r="AC117" s="169"/>
      <c r="AD117" s="154"/>
      <c r="AE117" s="116"/>
      <c r="AF117" s="127"/>
    </row>
    <row r="118" spans="1:32" ht="13">
      <c r="A118" s="230" t="s">
        <v>139</v>
      </c>
      <c r="B118" s="68" t="s">
        <v>233</v>
      </c>
      <c r="C118" s="15" t="s">
        <v>2</v>
      </c>
      <c r="D118" s="16"/>
      <c r="F118" s="17">
        <f t="shared" si="26"/>
        <v>24</v>
      </c>
      <c r="G118" s="77">
        <f t="shared" si="18"/>
        <v>0</v>
      </c>
      <c r="H118" s="209"/>
      <c r="I118" s="144"/>
      <c r="J118" s="102"/>
      <c r="K118" s="47"/>
      <c r="L118" s="90"/>
      <c r="M118" s="116"/>
      <c r="N118" s="169"/>
      <c r="O118" s="154"/>
      <c r="P118" s="116"/>
      <c r="Q118" s="169"/>
      <c r="R118" s="154"/>
      <c r="S118" s="116"/>
      <c r="T118" s="285"/>
      <c r="U118" s="187"/>
      <c r="V118" s="116"/>
      <c r="W118" s="285"/>
      <c r="X118" s="160">
        <f>18+6</f>
        <v>24</v>
      </c>
      <c r="Y118" s="140">
        <f t="shared" si="27"/>
        <v>0</v>
      </c>
      <c r="Z118" s="285"/>
      <c r="AA118" s="187"/>
      <c r="AB118" s="116"/>
      <c r="AC118" s="169"/>
      <c r="AD118" s="154"/>
      <c r="AE118" s="116"/>
      <c r="AF118" s="127"/>
    </row>
    <row r="119" spans="1:32" ht="13">
      <c r="A119" s="231"/>
      <c r="B119" s="304" t="s">
        <v>377</v>
      </c>
      <c r="C119" s="71"/>
      <c r="D119" s="72"/>
      <c r="F119" s="76"/>
      <c r="G119" s="73"/>
      <c r="H119" s="209"/>
      <c r="I119" s="177"/>
      <c r="J119" s="73"/>
      <c r="K119" s="47"/>
      <c r="L119" s="74"/>
      <c r="M119" s="101"/>
      <c r="N119" s="169"/>
      <c r="O119" s="153"/>
      <c r="P119" s="101"/>
      <c r="Q119" s="169"/>
      <c r="R119" s="153"/>
      <c r="S119" s="101"/>
      <c r="T119" s="285"/>
      <c r="U119" s="244"/>
      <c r="V119" s="101"/>
      <c r="W119" s="285"/>
      <c r="X119" s="244"/>
      <c r="Y119" s="193"/>
      <c r="Z119" s="285"/>
      <c r="AA119" s="244"/>
      <c r="AB119" s="101"/>
      <c r="AC119" s="169"/>
      <c r="AD119" s="153"/>
      <c r="AE119" s="101"/>
      <c r="AF119" s="127"/>
    </row>
    <row r="120" spans="1:32" ht="13">
      <c r="A120" s="230" t="s">
        <v>140</v>
      </c>
      <c r="B120" s="68" t="s">
        <v>237</v>
      </c>
      <c r="C120" s="15" t="s">
        <v>2</v>
      </c>
      <c r="D120" s="16"/>
      <c r="F120" s="17">
        <f>SUM(+I120+L120+O120+R120+U120+X120+AA120+AD120)</f>
        <v>123</v>
      </c>
      <c r="G120" s="77">
        <f t="shared" si="18"/>
        <v>0</v>
      </c>
      <c r="H120" s="209"/>
      <c r="I120" s="152">
        <v>56</v>
      </c>
      <c r="J120" s="77">
        <f>I120*D120</f>
        <v>0</v>
      </c>
      <c r="K120" s="47"/>
      <c r="L120" s="90"/>
      <c r="M120" s="116"/>
      <c r="N120" s="169"/>
      <c r="O120" s="154"/>
      <c r="P120" s="116"/>
      <c r="Q120" s="169"/>
      <c r="R120" s="154"/>
      <c r="S120" s="116"/>
      <c r="T120" s="285"/>
      <c r="U120" s="160">
        <v>67</v>
      </c>
      <c r="V120" s="98">
        <f t="shared" ref="V120:V126" si="28">U120*D120</f>
        <v>0</v>
      </c>
      <c r="W120" s="285"/>
      <c r="X120" s="187"/>
      <c r="Y120" s="139"/>
      <c r="Z120" s="285"/>
      <c r="AA120" s="187"/>
      <c r="AB120" s="116"/>
      <c r="AC120" s="169"/>
      <c r="AD120" s="154"/>
      <c r="AE120" s="116"/>
      <c r="AF120" s="127"/>
    </row>
    <row r="121" spans="1:32" ht="13">
      <c r="A121" s="230" t="s">
        <v>141</v>
      </c>
      <c r="B121" s="68" t="s">
        <v>238</v>
      </c>
      <c r="C121" s="15" t="s">
        <v>2</v>
      </c>
      <c r="D121" s="16"/>
      <c r="F121" s="17">
        <f t="shared" ref="F121:F126" si="29">SUM(+I121+L121+O121+R121+U121+X121+AA121+AD121)</f>
        <v>52</v>
      </c>
      <c r="G121" s="77">
        <f t="shared" si="18"/>
        <v>0</v>
      </c>
      <c r="H121" s="209"/>
      <c r="I121" s="152">
        <v>1</v>
      </c>
      <c r="J121" s="77">
        <f t="shared" ref="J121:J126" si="30">I121*D121</f>
        <v>0</v>
      </c>
      <c r="K121" s="47"/>
      <c r="L121" s="90"/>
      <c r="M121" s="116"/>
      <c r="N121" s="169"/>
      <c r="O121" s="154"/>
      <c r="P121" s="116"/>
      <c r="Q121" s="169"/>
      <c r="R121" s="154"/>
      <c r="S121" s="116"/>
      <c r="T121" s="285"/>
      <c r="U121" s="160">
        <v>51</v>
      </c>
      <c r="V121" s="98">
        <f t="shared" si="28"/>
        <v>0</v>
      </c>
      <c r="W121" s="285"/>
      <c r="X121" s="187"/>
      <c r="Y121" s="139"/>
      <c r="Z121" s="285"/>
      <c r="AA121" s="187"/>
      <c r="AB121" s="116"/>
      <c r="AC121" s="169"/>
      <c r="AD121" s="154"/>
      <c r="AE121" s="116"/>
      <c r="AF121" s="127"/>
    </row>
    <row r="122" spans="1:32" ht="13">
      <c r="A122" s="230" t="s">
        <v>142</v>
      </c>
      <c r="B122" s="68" t="s">
        <v>239</v>
      </c>
      <c r="C122" s="15" t="s">
        <v>2</v>
      </c>
      <c r="D122" s="16"/>
      <c r="F122" s="17">
        <f t="shared" si="29"/>
        <v>39</v>
      </c>
      <c r="G122" s="77">
        <f t="shared" si="18"/>
        <v>0</v>
      </c>
      <c r="H122" s="209"/>
      <c r="I122" s="152">
        <v>36</v>
      </c>
      <c r="J122" s="77">
        <f t="shared" si="30"/>
        <v>0</v>
      </c>
      <c r="K122" s="47"/>
      <c r="L122" s="90"/>
      <c r="M122" s="116"/>
      <c r="N122" s="169"/>
      <c r="O122" s="154"/>
      <c r="P122" s="116"/>
      <c r="Q122" s="169"/>
      <c r="R122" s="154"/>
      <c r="S122" s="116"/>
      <c r="T122" s="285"/>
      <c r="U122" s="160">
        <v>3</v>
      </c>
      <c r="V122" s="98">
        <f t="shared" si="28"/>
        <v>0</v>
      </c>
      <c r="W122" s="285"/>
      <c r="X122" s="187"/>
      <c r="Y122" s="139"/>
      <c r="Z122" s="285"/>
      <c r="AA122" s="187"/>
      <c r="AB122" s="116"/>
      <c r="AC122" s="169"/>
      <c r="AD122" s="154"/>
      <c r="AE122" s="116"/>
      <c r="AF122" s="127"/>
    </row>
    <row r="123" spans="1:32" ht="13">
      <c r="A123" s="230" t="s">
        <v>143</v>
      </c>
      <c r="B123" s="68" t="s">
        <v>240</v>
      </c>
      <c r="C123" s="15" t="s">
        <v>2</v>
      </c>
      <c r="D123" s="16"/>
      <c r="F123" s="17">
        <f t="shared" si="29"/>
        <v>5</v>
      </c>
      <c r="G123" s="77">
        <f t="shared" si="18"/>
        <v>0</v>
      </c>
      <c r="H123" s="209"/>
      <c r="I123" s="152">
        <v>1</v>
      </c>
      <c r="J123" s="77">
        <f t="shared" si="30"/>
        <v>0</v>
      </c>
      <c r="K123" s="47"/>
      <c r="L123" s="90"/>
      <c r="M123" s="116"/>
      <c r="N123" s="169"/>
      <c r="O123" s="154"/>
      <c r="P123" s="116"/>
      <c r="Q123" s="169"/>
      <c r="R123" s="154"/>
      <c r="S123" s="116"/>
      <c r="T123" s="285"/>
      <c r="U123" s="160">
        <v>4</v>
      </c>
      <c r="V123" s="98">
        <f t="shared" si="28"/>
        <v>0</v>
      </c>
      <c r="W123" s="285"/>
      <c r="X123" s="187"/>
      <c r="Y123" s="139"/>
      <c r="Z123" s="285"/>
      <c r="AA123" s="187"/>
      <c r="AB123" s="116"/>
      <c r="AC123" s="169"/>
      <c r="AD123" s="154"/>
      <c r="AE123" s="116"/>
      <c r="AF123" s="127"/>
    </row>
    <row r="124" spans="1:32" ht="13">
      <c r="A124" s="230" t="s">
        <v>144</v>
      </c>
      <c r="B124" s="68" t="s">
        <v>241</v>
      </c>
      <c r="C124" s="15" t="s">
        <v>2</v>
      </c>
      <c r="D124" s="16"/>
      <c r="F124" s="17">
        <f t="shared" si="29"/>
        <v>72</v>
      </c>
      <c r="G124" s="77">
        <f t="shared" si="18"/>
        <v>0</v>
      </c>
      <c r="H124" s="209"/>
      <c r="I124" s="152">
        <v>36</v>
      </c>
      <c r="J124" s="77">
        <f t="shared" si="30"/>
        <v>0</v>
      </c>
      <c r="K124" s="47"/>
      <c r="L124" s="90"/>
      <c r="M124" s="116"/>
      <c r="N124" s="169"/>
      <c r="O124" s="154"/>
      <c r="P124" s="116"/>
      <c r="Q124" s="169"/>
      <c r="R124" s="154"/>
      <c r="S124" s="116"/>
      <c r="T124" s="285"/>
      <c r="U124" s="160">
        <v>36</v>
      </c>
      <c r="V124" s="98">
        <f t="shared" si="28"/>
        <v>0</v>
      </c>
      <c r="W124" s="285"/>
      <c r="X124" s="187"/>
      <c r="Y124" s="139"/>
      <c r="Z124" s="285"/>
      <c r="AA124" s="187"/>
      <c r="AB124" s="116"/>
      <c r="AC124" s="169"/>
      <c r="AD124" s="154"/>
      <c r="AE124" s="116"/>
      <c r="AF124" s="127"/>
    </row>
    <row r="125" spans="1:32" ht="13">
      <c r="A125" s="230" t="s">
        <v>145</v>
      </c>
      <c r="B125" s="68" t="s">
        <v>329</v>
      </c>
      <c r="C125" s="15" t="s">
        <v>2</v>
      </c>
      <c r="D125" s="16"/>
      <c r="F125" s="17">
        <f>U125</f>
        <v>90</v>
      </c>
      <c r="G125" s="77">
        <f t="shared" si="18"/>
        <v>0</v>
      </c>
      <c r="H125" s="209"/>
      <c r="I125" s="144"/>
      <c r="J125" s="102"/>
      <c r="K125" s="47"/>
      <c r="L125" s="90"/>
      <c r="M125" s="116"/>
      <c r="N125" s="169"/>
      <c r="O125" s="154"/>
      <c r="P125" s="116"/>
      <c r="Q125" s="169"/>
      <c r="R125" s="154"/>
      <c r="S125" s="116"/>
      <c r="T125" s="285"/>
      <c r="U125" s="160">
        <f>9*10</f>
        <v>90</v>
      </c>
      <c r="V125" s="98">
        <f>U125*D125</f>
        <v>0</v>
      </c>
      <c r="W125" s="285"/>
      <c r="X125" s="187"/>
      <c r="Y125" s="139"/>
      <c r="Z125" s="285"/>
      <c r="AA125" s="187"/>
      <c r="AB125" s="116"/>
      <c r="AC125" s="169"/>
      <c r="AD125" s="154"/>
      <c r="AE125" s="116"/>
      <c r="AF125" s="127"/>
    </row>
    <row r="126" spans="1:32" ht="13">
      <c r="A126" s="230" t="s">
        <v>340</v>
      </c>
      <c r="B126" s="68" t="s">
        <v>242</v>
      </c>
      <c r="C126" s="15" t="s">
        <v>2</v>
      </c>
      <c r="D126" s="16"/>
      <c r="F126" s="17">
        <f t="shared" si="29"/>
        <v>3</v>
      </c>
      <c r="G126" s="77">
        <f t="shared" si="18"/>
        <v>0</v>
      </c>
      <c r="H126" s="209"/>
      <c r="I126" s="152">
        <v>1</v>
      </c>
      <c r="J126" s="77">
        <f t="shared" si="30"/>
        <v>0</v>
      </c>
      <c r="K126" s="47"/>
      <c r="L126" s="90"/>
      <c r="M126" s="116"/>
      <c r="N126" s="169"/>
      <c r="O126" s="154"/>
      <c r="P126" s="116"/>
      <c r="Q126" s="169"/>
      <c r="R126" s="154"/>
      <c r="S126" s="116"/>
      <c r="T126" s="285"/>
      <c r="U126" s="160">
        <v>2</v>
      </c>
      <c r="V126" s="98">
        <f t="shared" si="28"/>
        <v>0</v>
      </c>
      <c r="W126" s="285"/>
      <c r="X126" s="187"/>
      <c r="Y126" s="139"/>
      <c r="Z126" s="285"/>
      <c r="AA126" s="187"/>
      <c r="AB126" s="116"/>
      <c r="AC126" s="169"/>
      <c r="AD126" s="154"/>
      <c r="AE126" s="116"/>
      <c r="AF126" s="127"/>
    </row>
    <row r="127" spans="1:32" ht="13">
      <c r="A127" s="231"/>
      <c r="B127" s="305" t="s">
        <v>243</v>
      </c>
      <c r="C127" s="71"/>
      <c r="D127" s="72"/>
      <c r="F127" s="76"/>
      <c r="G127" s="73"/>
      <c r="H127" s="209"/>
      <c r="I127" s="177"/>
      <c r="J127" s="73"/>
      <c r="K127" s="47"/>
      <c r="L127" s="74"/>
      <c r="M127" s="101"/>
      <c r="N127" s="169"/>
      <c r="O127" s="153"/>
      <c r="P127" s="101"/>
      <c r="Q127" s="169"/>
      <c r="R127" s="153"/>
      <c r="S127" s="101"/>
      <c r="T127" s="285"/>
      <c r="U127" s="244"/>
      <c r="V127" s="101"/>
      <c r="W127" s="285"/>
      <c r="X127" s="244"/>
      <c r="Y127" s="193"/>
      <c r="Z127" s="285"/>
      <c r="AA127" s="244"/>
      <c r="AB127" s="101"/>
      <c r="AC127" s="169"/>
      <c r="AD127" s="153"/>
      <c r="AE127" s="101"/>
      <c r="AF127" s="127"/>
    </row>
    <row r="128" spans="1:32" ht="13">
      <c r="A128" s="230" t="s">
        <v>146</v>
      </c>
      <c r="B128" s="137" t="s">
        <v>254</v>
      </c>
      <c r="C128" s="15" t="s">
        <v>2</v>
      </c>
      <c r="D128" s="16"/>
      <c r="F128" s="17">
        <f>SUM(+I128+L128+O128+R128+U128+X128+AA128+AD128)</f>
        <v>36</v>
      </c>
      <c r="G128" s="77">
        <f t="shared" si="18"/>
        <v>0</v>
      </c>
      <c r="H128" s="209"/>
      <c r="I128" s="144"/>
      <c r="J128" s="102"/>
      <c r="K128" s="47"/>
      <c r="L128" s="18">
        <v>36</v>
      </c>
      <c r="M128" s="98">
        <f t="shared" ref="M128:M136" si="31">L128*D128</f>
        <v>0</v>
      </c>
      <c r="N128" s="169"/>
      <c r="O128" s="154"/>
      <c r="P128" s="116"/>
      <c r="Q128" s="169"/>
      <c r="R128" s="154"/>
      <c r="S128" s="116"/>
      <c r="T128" s="285"/>
      <c r="U128" s="187"/>
      <c r="V128" s="116"/>
      <c r="W128" s="285"/>
      <c r="X128" s="187"/>
      <c r="Y128" s="139"/>
      <c r="Z128" s="285"/>
      <c r="AA128" s="187"/>
      <c r="AB128" s="116"/>
      <c r="AC128" s="169"/>
      <c r="AD128" s="154"/>
      <c r="AE128" s="116"/>
      <c r="AF128" s="127"/>
    </row>
    <row r="129" spans="1:32" ht="13">
      <c r="A129" s="230" t="s">
        <v>147</v>
      </c>
      <c r="B129" s="137" t="s">
        <v>255</v>
      </c>
      <c r="C129" s="15" t="s">
        <v>2</v>
      </c>
      <c r="D129" s="16"/>
      <c r="F129" s="17">
        <f t="shared" ref="F129:F136" si="32">SUM(+I129+L129+O129+R129+U129+X129+AA129+AD129)</f>
        <v>28</v>
      </c>
      <c r="G129" s="77">
        <f t="shared" si="18"/>
        <v>0</v>
      </c>
      <c r="H129" s="209"/>
      <c r="I129" s="144"/>
      <c r="J129" s="102"/>
      <c r="K129" s="47"/>
      <c r="L129" s="18">
        <v>28</v>
      </c>
      <c r="M129" s="98">
        <f t="shared" si="31"/>
        <v>0</v>
      </c>
      <c r="N129" s="169"/>
      <c r="O129" s="154"/>
      <c r="P129" s="116"/>
      <c r="Q129" s="169"/>
      <c r="R129" s="154"/>
      <c r="S129" s="116"/>
      <c r="T129" s="285"/>
      <c r="U129" s="187"/>
      <c r="V129" s="116"/>
      <c r="W129" s="285"/>
      <c r="X129" s="187"/>
      <c r="Y129" s="139"/>
      <c r="Z129" s="285"/>
      <c r="AA129" s="187"/>
      <c r="AB129" s="116"/>
      <c r="AC129" s="169"/>
      <c r="AD129" s="154"/>
      <c r="AE129" s="116"/>
      <c r="AF129" s="127"/>
    </row>
    <row r="130" spans="1:32" ht="13">
      <c r="A130" s="230" t="s">
        <v>148</v>
      </c>
      <c r="B130" s="137" t="s">
        <v>256</v>
      </c>
      <c r="C130" s="15" t="s">
        <v>2</v>
      </c>
      <c r="D130" s="16"/>
      <c r="F130" s="17">
        <f t="shared" si="32"/>
        <v>3</v>
      </c>
      <c r="G130" s="77">
        <f t="shared" si="18"/>
        <v>0</v>
      </c>
      <c r="H130" s="209"/>
      <c r="I130" s="144"/>
      <c r="J130" s="102"/>
      <c r="K130" s="47"/>
      <c r="L130" s="18">
        <v>3</v>
      </c>
      <c r="M130" s="98">
        <f t="shared" si="31"/>
        <v>0</v>
      </c>
      <c r="N130" s="169"/>
      <c r="O130" s="154"/>
      <c r="P130" s="116"/>
      <c r="Q130" s="169"/>
      <c r="R130" s="154"/>
      <c r="S130" s="116"/>
      <c r="T130" s="285"/>
      <c r="U130" s="187"/>
      <c r="V130" s="116"/>
      <c r="W130" s="285"/>
      <c r="X130" s="187"/>
      <c r="Y130" s="139"/>
      <c r="Z130" s="285"/>
      <c r="AA130" s="187"/>
      <c r="AB130" s="116"/>
      <c r="AC130" s="169"/>
      <c r="AD130" s="154"/>
      <c r="AE130" s="116"/>
      <c r="AF130" s="127"/>
    </row>
    <row r="131" spans="1:32" ht="13">
      <c r="A131" s="230" t="s">
        <v>149</v>
      </c>
      <c r="B131" s="137" t="s">
        <v>257</v>
      </c>
      <c r="C131" s="15" t="s">
        <v>2</v>
      </c>
      <c r="D131" s="16"/>
      <c r="F131" s="17">
        <f t="shared" si="32"/>
        <v>60</v>
      </c>
      <c r="G131" s="77">
        <f t="shared" si="18"/>
        <v>0</v>
      </c>
      <c r="H131" s="209"/>
      <c r="I131" s="144"/>
      <c r="J131" s="102"/>
      <c r="K131" s="47"/>
      <c r="L131" s="18">
        <v>60</v>
      </c>
      <c r="M131" s="98">
        <f t="shared" si="31"/>
        <v>0</v>
      </c>
      <c r="N131" s="169"/>
      <c r="O131" s="154"/>
      <c r="P131" s="116"/>
      <c r="Q131" s="169"/>
      <c r="R131" s="154"/>
      <c r="S131" s="116"/>
      <c r="T131" s="285"/>
      <c r="U131" s="187"/>
      <c r="V131" s="116"/>
      <c r="W131" s="285"/>
      <c r="X131" s="187"/>
      <c r="Y131" s="139"/>
      <c r="Z131" s="285"/>
      <c r="AA131" s="187"/>
      <c r="AB131" s="116"/>
      <c r="AC131" s="169"/>
      <c r="AD131" s="154"/>
      <c r="AE131" s="116"/>
      <c r="AF131" s="127"/>
    </row>
    <row r="132" spans="1:32" ht="13">
      <c r="A132" s="230" t="s">
        <v>150</v>
      </c>
      <c r="B132" s="137" t="s">
        <v>258</v>
      </c>
      <c r="C132" s="15" t="s">
        <v>2</v>
      </c>
      <c r="D132" s="16"/>
      <c r="F132" s="17">
        <f t="shared" si="32"/>
        <v>52</v>
      </c>
      <c r="G132" s="77">
        <f t="shared" si="18"/>
        <v>0</v>
      </c>
      <c r="H132" s="209"/>
      <c r="I132" s="144"/>
      <c r="J132" s="102"/>
      <c r="K132" s="47"/>
      <c r="L132" s="18">
        <v>52</v>
      </c>
      <c r="M132" s="98">
        <f t="shared" si="31"/>
        <v>0</v>
      </c>
      <c r="N132" s="169"/>
      <c r="O132" s="154"/>
      <c r="P132" s="116"/>
      <c r="Q132" s="169"/>
      <c r="R132" s="154"/>
      <c r="S132" s="116"/>
      <c r="T132" s="285"/>
      <c r="U132" s="187"/>
      <c r="V132" s="116"/>
      <c r="W132" s="285"/>
      <c r="X132" s="187"/>
      <c r="Y132" s="139"/>
      <c r="Z132" s="285"/>
      <c r="AA132" s="187"/>
      <c r="AB132" s="116"/>
      <c r="AC132" s="169"/>
      <c r="AD132" s="154"/>
      <c r="AE132" s="116"/>
      <c r="AF132" s="127"/>
    </row>
    <row r="133" spans="1:32" ht="13">
      <c r="A133" s="230" t="s">
        <v>151</v>
      </c>
      <c r="B133" s="137" t="s">
        <v>259</v>
      </c>
      <c r="C133" s="15" t="s">
        <v>2</v>
      </c>
      <c r="D133" s="16"/>
      <c r="F133" s="17">
        <f t="shared" si="32"/>
        <v>52</v>
      </c>
      <c r="G133" s="77">
        <f t="shared" si="18"/>
        <v>0</v>
      </c>
      <c r="H133" s="209"/>
      <c r="I133" s="144"/>
      <c r="J133" s="102"/>
      <c r="K133" s="47"/>
      <c r="L133" s="18">
        <v>52</v>
      </c>
      <c r="M133" s="98">
        <f t="shared" si="31"/>
        <v>0</v>
      </c>
      <c r="N133" s="169"/>
      <c r="O133" s="154"/>
      <c r="P133" s="116"/>
      <c r="Q133" s="169"/>
      <c r="R133" s="154"/>
      <c r="S133" s="116"/>
      <c r="T133" s="169"/>
      <c r="U133" s="154"/>
      <c r="V133" s="116"/>
      <c r="W133" s="169"/>
      <c r="X133" s="154"/>
      <c r="Y133" s="139"/>
      <c r="Z133" s="169"/>
      <c r="AA133" s="154"/>
      <c r="AB133" s="116"/>
      <c r="AC133" s="169"/>
      <c r="AD133" s="154"/>
      <c r="AE133" s="116"/>
      <c r="AF133" s="127"/>
    </row>
    <row r="134" spans="1:32" ht="13">
      <c r="A134" s="230" t="s">
        <v>152</v>
      </c>
      <c r="B134" s="137" t="s">
        <v>260</v>
      </c>
      <c r="C134" s="15" t="s">
        <v>2</v>
      </c>
      <c r="D134" s="16"/>
      <c r="F134" s="17">
        <f t="shared" si="32"/>
        <v>4</v>
      </c>
      <c r="G134" s="77">
        <f t="shared" si="18"/>
        <v>0</v>
      </c>
      <c r="H134" s="209"/>
      <c r="I134" s="144"/>
      <c r="J134" s="102"/>
      <c r="K134" s="47"/>
      <c r="L134" s="18">
        <v>4</v>
      </c>
      <c r="M134" s="98">
        <f t="shared" si="31"/>
        <v>0</v>
      </c>
      <c r="N134" s="169"/>
      <c r="O134" s="154"/>
      <c r="P134" s="116"/>
      <c r="Q134" s="169"/>
      <c r="R134" s="154"/>
      <c r="S134" s="116"/>
      <c r="T134" s="169"/>
      <c r="U134" s="154"/>
      <c r="V134" s="116"/>
      <c r="W134" s="169"/>
      <c r="X134" s="154"/>
      <c r="Y134" s="139"/>
      <c r="Z134" s="169"/>
      <c r="AA134" s="154"/>
      <c r="AB134" s="116"/>
      <c r="AC134" s="169"/>
      <c r="AD134" s="154"/>
      <c r="AE134" s="116"/>
      <c r="AF134" s="127"/>
    </row>
    <row r="135" spans="1:32" ht="13">
      <c r="A135" s="230" t="s">
        <v>341</v>
      </c>
      <c r="B135" s="137" t="s">
        <v>261</v>
      </c>
      <c r="C135" s="15" t="s">
        <v>2</v>
      </c>
      <c r="D135" s="16"/>
      <c r="F135" s="17">
        <f t="shared" si="32"/>
        <v>3</v>
      </c>
      <c r="G135" s="77">
        <f t="shared" si="18"/>
        <v>0</v>
      </c>
      <c r="H135" s="209"/>
      <c r="I135" s="144"/>
      <c r="J135" s="102"/>
      <c r="K135" s="47"/>
      <c r="L135" s="18">
        <v>3</v>
      </c>
      <c r="M135" s="98">
        <f t="shared" si="31"/>
        <v>0</v>
      </c>
      <c r="N135" s="169"/>
      <c r="O135" s="154"/>
      <c r="P135" s="116"/>
      <c r="Q135" s="169"/>
      <c r="R135" s="154"/>
      <c r="S135" s="116"/>
      <c r="T135" s="169"/>
      <c r="U135" s="154"/>
      <c r="V135" s="116"/>
      <c r="W135" s="169"/>
      <c r="X135" s="154"/>
      <c r="Y135" s="139"/>
      <c r="Z135" s="169"/>
      <c r="AA135" s="154"/>
      <c r="AB135" s="116"/>
      <c r="AC135" s="169"/>
      <c r="AD135" s="154"/>
      <c r="AE135" s="116"/>
      <c r="AF135" s="127"/>
    </row>
    <row r="136" spans="1:32" ht="13">
      <c r="A136" s="230" t="s">
        <v>342</v>
      </c>
      <c r="B136" s="137" t="s">
        <v>262</v>
      </c>
      <c r="C136" s="15" t="s">
        <v>2</v>
      </c>
      <c r="D136" s="16"/>
      <c r="F136" s="17">
        <f t="shared" si="32"/>
        <v>76</v>
      </c>
      <c r="G136" s="77">
        <f t="shared" si="18"/>
        <v>0</v>
      </c>
      <c r="H136" s="209"/>
      <c r="I136" s="144"/>
      <c r="J136" s="102"/>
      <c r="K136" s="47"/>
      <c r="L136" s="18">
        <v>76</v>
      </c>
      <c r="M136" s="98">
        <f t="shared" si="31"/>
        <v>0</v>
      </c>
      <c r="N136" s="169"/>
      <c r="O136" s="154"/>
      <c r="P136" s="116"/>
      <c r="Q136" s="169"/>
      <c r="R136" s="154"/>
      <c r="S136" s="116"/>
      <c r="T136" s="169"/>
      <c r="U136" s="154"/>
      <c r="V136" s="116"/>
      <c r="W136" s="169"/>
      <c r="X136" s="154"/>
      <c r="Y136" s="139"/>
      <c r="Z136" s="169"/>
      <c r="AA136" s="154"/>
      <c r="AB136" s="116"/>
      <c r="AC136" s="169"/>
      <c r="AD136" s="154"/>
      <c r="AE136" s="116"/>
      <c r="AF136" s="127"/>
    </row>
    <row r="137" spans="1:32" ht="13">
      <c r="A137" s="231"/>
      <c r="B137" s="304" t="s">
        <v>244</v>
      </c>
      <c r="C137" s="71"/>
      <c r="D137" s="72"/>
      <c r="F137" s="76"/>
      <c r="G137" s="73"/>
      <c r="H137" s="209"/>
      <c r="I137" s="177"/>
      <c r="J137" s="73"/>
      <c r="K137" s="47"/>
      <c r="L137" s="70"/>
      <c r="M137" s="101"/>
      <c r="N137" s="285"/>
      <c r="O137" s="244"/>
      <c r="P137" s="101"/>
      <c r="Q137" s="285"/>
      <c r="R137" s="244"/>
      <c r="S137" s="101"/>
      <c r="T137" s="285"/>
      <c r="U137" s="244"/>
      <c r="V137" s="101"/>
      <c r="W137" s="285"/>
      <c r="X137" s="244"/>
      <c r="Y137" s="193"/>
      <c r="Z137" s="285"/>
      <c r="AA137" s="244"/>
      <c r="AB137" s="101"/>
      <c r="AC137" s="285"/>
      <c r="AD137" s="244"/>
      <c r="AE137" s="101"/>
      <c r="AF137" s="127"/>
    </row>
    <row r="138" spans="1:32" ht="13">
      <c r="A138" s="230" t="s">
        <v>343</v>
      </c>
      <c r="B138" s="68" t="s">
        <v>263</v>
      </c>
      <c r="C138" s="15" t="s">
        <v>2</v>
      </c>
      <c r="D138" s="16"/>
      <c r="F138" s="17">
        <f>SUM(I138+L138+O138+R138+U138+X138+AA138+AD138)</f>
        <v>32</v>
      </c>
      <c r="G138" s="77">
        <f t="shared" si="18"/>
        <v>0</v>
      </c>
      <c r="H138" s="209"/>
      <c r="I138" s="144"/>
      <c r="J138" s="102"/>
      <c r="K138" s="47"/>
      <c r="L138" s="18">
        <v>32</v>
      </c>
      <c r="M138" s="98">
        <f t="shared" ref="M138:M145" si="33">L138*D138</f>
        <v>0</v>
      </c>
      <c r="N138" s="285"/>
      <c r="O138" s="187"/>
      <c r="P138" s="116"/>
      <c r="Q138" s="285"/>
      <c r="R138" s="187"/>
      <c r="S138" s="116"/>
      <c r="T138" s="285"/>
      <c r="U138" s="187"/>
      <c r="V138" s="116"/>
      <c r="W138" s="285"/>
      <c r="X138" s="187"/>
      <c r="Y138" s="139"/>
      <c r="Z138" s="285"/>
      <c r="AA138" s="187"/>
      <c r="AB138" s="116"/>
      <c r="AC138" s="285"/>
      <c r="AD138" s="187"/>
      <c r="AE138" s="116"/>
      <c r="AF138" s="127"/>
    </row>
    <row r="139" spans="1:32" ht="13">
      <c r="A139" s="230" t="s">
        <v>153</v>
      </c>
      <c r="B139" s="68" t="s">
        <v>264</v>
      </c>
      <c r="C139" s="15" t="s">
        <v>2</v>
      </c>
      <c r="D139" s="16"/>
      <c r="F139" s="17">
        <f t="shared" ref="F139:F145" si="34">SUM(I139+L139+O139+R139+U139+X139+AA139+AD139)</f>
        <v>32</v>
      </c>
      <c r="G139" s="77">
        <f t="shared" si="18"/>
        <v>0</v>
      </c>
      <c r="H139" s="209"/>
      <c r="I139" s="144"/>
      <c r="J139" s="102"/>
      <c r="K139" s="47"/>
      <c r="L139" s="18">
        <v>32</v>
      </c>
      <c r="M139" s="98">
        <f t="shared" si="33"/>
        <v>0</v>
      </c>
      <c r="N139" s="285"/>
      <c r="O139" s="187"/>
      <c r="P139" s="116"/>
      <c r="Q139" s="285"/>
      <c r="R139" s="187"/>
      <c r="S139" s="116"/>
      <c r="T139" s="285"/>
      <c r="U139" s="187"/>
      <c r="V139" s="116"/>
      <c r="W139" s="285"/>
      <c r="X139" s="187"/>
      <c r="Y139" s="139"/>
      <c r="Z139" s="285"/>
      <c r="AA139" s="187"/>
      <c r="AB139" s="116"/>
      <c r="AC139" s="285"/>
      <c r="AD139" s="187"/>
      <c r="AE139" s="116"/>
      <c r="AF139" s="127"/>
    </row>
    <row r="140" spans="1:32" ht="13">
      <c r="A140" s="230" t="s">
        <v>154</v>
      </c>
      <c r="B140" s="68" t="s">
        <v>265</v>
      </c>
      <c r="C140" s="15" t="s">
        <v>2</v>
      </c>
      <c r="D140" s="16"/>
      <c r="F140" s="17">
        <f t="shared" si="34"/>
        <v>36</v>
      </c>
      <c r="G140" s="77">
        <f t="shared" si="18"/>
        <v>0</v>
      </c>
      <c r="H140" s="209"/>
      <c r="I140" s="144"/>
      <c r="J140" s="102"/>
      <c r="K140" s="47"/>
      <c r="L140" s="18">
        <v>36</v>
      </c>
      <c r="M140" s="98">
        <f t="shared" si="33"/>
        <v>0</v>
      </c>
      <c r="N140" s="285"/>
      <c r="O140" s="187"/>
      <c r="P140" s="116"/>
      <c r="Q140" s="285"/>
      <c r="R140" s="187"/>
      <c r="S140" s="116"/>
      <c r="T140" s="285"/>
      <c r="U140" s="187"/>
      <c r="V140" s="116"/>
      <c r="W140" s="285"/>
      <c r="X140" s="187"/>
      <c r="Y140" s="139"/>
      <c r="Z140" s="285"/>
      <c r="AA140" s="187"/>
      <c r="AB140" s="116"/>
      <c r="AC140" s="285"/>
      <c r="AD140" s="187"/>
      <c r="AE140" s="116"/>
      <c r="AF140" s="127"/>
    </row>
    <row r="141" spans="1:32" ht="13">
      <c r="A141" s="230" t="s">
        <v>155</v>
      </c>
      <c r="B141" s="68" t="s">
        <v>266</v>
      </c>
      <c r="C141" s="15" t="s">
        <v>2</v>
      </c>
      <c r="D141" s="16"/>
      <c r="F141" s="17">
        <f t="shared" si="34"/>
        <v>44</v>
      </c>
      <c r="G141" s="77">
        <f t="shared" si="18"/>
        <v>0</v>
      </c>
      <c r="H141" s="209"/>
      <c r="I141" s="144"/>
      <c r="J141" s="102"/>
      <c r="K141" s="47"/>
      <c r="L141" s="18">
        <v>44</v>
      </c>
      <c r="M141" s="98">
        <f t="shared" si="33"/>
        <v>0</v>
      </c>
      <c r="N141" s="285"/>
      <c r="O141" s="187"/>
      <c r="P141" s="116"/>
      <c r="Q141" s="285"/>
      <c r="R141" s="187"/>
      <c r="S141" s="116"/>
      <c r="T141" s="285"/>
      <c r="U141" s="187"/>
      <c r="V141" s="116"/>
      <c r="W141" s="285"/>
      <c r="X141" s="187"/>
      <c r="Y141" s="139"/>
      <c r="Z141" s="285"/>
      <c r="AA141" s="187"/>
      <c r="AB141" s="116"/>
      <c r="AC141" s="285"/>
      <c r="AD141" s="187"/>
      <c r="AE141" s="116"/>
      <c r="AF141" s="127"/>
    </row>
    <row r="142" spans="1:32" ht="13">
      <c r="A142" s="230" t="s">
        <v>156</v>
      </c>
      <c r="B142" s="68" t="s">
        <v>267</v>
      </c>
      <c r="C142" s="15" t="s">
        <v>2</v>
      </c>
      <c r="D142" s="16"/>
      <c r="F142" s="17">
        <f t="shared" si="34"/>
        <v>24</v>
      </c>
      <c r="G142" s="77">
        <f t="shared" si="18"/>
        <v>0</v>
      </c>
      <c r="H142" s="209"/>
      <c r="I142" s="144"/>
      <c r="J142" s="102"/>
      <c r="K142" s="47"/>
      <c r="L142" s="18">
        <v>24</v>
      </c>
      <c r="M142" s="98">
        <f t="shared" si="33"/>
        <v>0</v>
      </c>
      <c r="N142" s="285"/>
      <c r="O142" s="187"/>
      <c r="P142" s="116"/>
      <c r="Q142" s="285"/>
      <c r="R142" s="187"/>
      <c r="S142" s="116"/>
      <c r="T142" s="285"/>
      <c r="U142" s="187"/>
      <c r="V142" s="116"/>
      <c r="W142" s="285"/>
      <c r="X142" s="187"/>
      <c r="Y142" s="139"/>
      <c r="Z142" s="285"/>
      <c r="AA142" s="187"/>
      <c r="AB142" s="116"/>
      <c r="AC142" s="285"/>
      <c r="AD142" s="187"/>
      <c r="AE142" s="116"/>
      <c r="AF142" s="127"/>
    </row>
    <row r="143" spans="1:32" ht="13">
      <c r="A143" s="230" t="s">
        <v>157</v>
      </c>
      <c r="B143" s="68" t="s">
        <v>268</v>
      </c>
      <c r="C143" s="15" t="s">
        <v>2</v>
      </c>
      <c r="D143" s="16"/>
      <c r="F143" s="17">
        <f t="shared" si="34"/>
        <v>28</v>
      </c>
      <c r="G143" s="77">
        <f t="shared" si="18"/>
        <v>0</v>
      </c>
      <c r="H143" s="209"/>
      <c r="I143" s="144"/>
      <c r="J143" s="102"/>
      <c r="K143" s="47"/>
      <c r="L143" s="18">
        <v>28</v>
      </c>
      <c r="M143" s="98">
        <f t="shared" si="33"/>
        <v>0</v>
      </c>
      <c r="N143" s="285"/>
      <c r="O143" s="187"/>
      <c r="P143" s="116"/>
      <c r="Q143" s="285"/>
      <c r="R143" s="187"/>
      <c r="S143" s="116"/>
      <c r="T143" s="285"/>
      <c r="U143" s="187"/>
      <c r="V143" s="116"/>
      <c r="W143" s="285"/>
      <c r="X143" s="187"/>
      <c r="Y143" s="139"/>
      <c r="Z143" s="285"/>
      <c r="AA143" s="187"/>
      <c r="AB143" s="116"/>
      <c r="AC143" s="285"/>
      <c r="AD143" s="187"/>
      <c r="AE143" s="116"/>
      <c r="AF143" s="127"/>
    </row>
    <row r="144" spans="1:32" ht="13">
      <c r="A144" s="230" t="s">
        <v>158</v>
      </c>
      <c r="B144" s="68" t="s">
        <v>269</v>
      </c>
      <c r="C144" s="15" t="s">
        <v>2</v>
      </c>
      <c r="D144" s="16"/>
      <c r="F144" s="17">
        <f t="shared" si="34"/>
        <v>100</v>
      </c>
      <c r="G144" s="77">
        <f t="shared" si="18"/>
        <v>0</v>
      </c>
      <c r="H144" s="209"/>
      <c r="I144" s="144"/>
      <c r="J144" s="102"/>
      <c r="K144" s="47"/>
      <c r="L144" s="18">
        <v>100</v>
      </c>
      <c r="M144" s="98">
        <f t="shared" si="33"/>
        <v>0</v>
      </c>
      <c r="N144" s="285"/>
      <c r="O144" s="187"/>
      <c r="P144" s="116"/>
      <c r="Q144" s="285"/>
      <c r="R144" s="187"/>
      <c r="S144" s="116"/>
      <c r="T144" s="285"/>
      <c r="U144" s="187"/>
      <c r="V144" s="116"/>
      <c r="W144" s="285"/>
      <c r="X144" s="187"/>
      <c r="Y144" s="139"/>
      <c r="Z144" s="285"/>
      <c r="AA144" s="187"/>
      <c r="AB144" s="116"/>
      <c r="AC144" s="285"/>
      <c r="AD144" s="187"/>
      <c r="AE144" s="116"/>
      <c r="AF144" s="127"/>
    </row>
    <row r="145" spans="1:32" ht="13">
      <c r="A145" s="230" t="s">
        <v>159</v>
      </c>
      <c r="B145" s="68" t="s">
        <v>270</v>
      </c>
      <c r="C145" s="15" t="s">
        <v>2</v>
      </c>
      <c r="D145" s="16"/>
      <c r="F145" s="17">
        <f t="shared" si="34"/>
        <v>56</v>
      </c>
      <c r="G145" s="77">
        <f t="shared" si="18"/>
        <v>0</v>
      </c>
      <c r="H145" s="209"/>
      <c r="I145" s="144"/>
      <c r="J145" s="102"/>
      <c r="K145" s="47"/>
      <c r="L145" s="18">
        <v>56</v>
      </c>
      <c r="M145" s="98">
        <f t="shared" si="33"/>
        <v>0</v>
      </c>
      <c r="N145" s="285"/>
      <c r="O145" s="187"/>
      <c r="P145" s="116"/>
      <c r="Q145" s="285"/>
      <c r="R145" s="187"/>
      <c r="S145" s="116"/>
      <c r="T145" s="285"/>
      <c r="U145" s="187"/>
      <c r="V145" s="116"/>
      <c r="W145" s="285"/>
      <c r="X145" s="187"/>
      <c r="Y145" s="139"/>
      <c r="Z145" s="285"/>
      <c r="AA145" s="187"/>
      <c r="AB145" s="116"/>
      <c r="AC145" s="285"/>
      <c r="AD145" s="187"/>
      <c r="AE145" s="116"/>
      <c r="AF145" s="127"/>
    </row>
    <row r="146" spans="1:32" ht="13">
      <c r="A146" s="231"/>
      <c r="B146" s="304" t="s">
        <v>245</v>
      </c>
      <c r="C146" s="71"/>
      <c r="D146" s="72"/>
      <c r="F146" s="76"/>
      <c r="G146" s="73"/>
      <c r="H146" s="209"/>
      <c r="I146" s="177"/>
      <c r="J146" s="73"/>
      <c r="K146" s="47"/>
      <c r="L146" s="70"/>
      <c r="M146" s="101"/>
      <c r="N146" s="285"/>
      <c r="O146" s="244"/>
      <c r="P146" s="101"/>
      <c r="Q146" s="285"/>
      <c r="R146" s="244"/>
      <c r="S146" s="101"/>
      <c r="T146" s="285"/>
      <c r="U146" s="244"/>
      <c r="V146" s="101"/>
      <c r="W146" s="285"/>
      <c r="X146" s="244"/>
      <c r="Y146" s="193"/>
      <c r="Z146" s="285"/>
      <c r="AA146" s="244"/>
      <c r="AB146" s="101"/>
      <c r="AC146" s="285"/>
      <c r="AD146" s="244"/>
      <c r="AE146" s="101"/>
      <c r="AF146" s="127"/>
    </row>
    <row r="147" spans="1:32" ht="13">
      <c r="A147" s="230" t="s">
        <v>160</v>
      </c>
      <c r="B147" s="68" t="s">
        <v>271</v>
      </c>
      <c r="C147" s="15" t="s">
        <v>2</v>
      </c>
      <c r="D147" s="16"/>
      <c r="F147" s="17">
        <f>SUM(I147+L147+O147+R147+U147+X147+AA147+AD147)</f>
        <v>84</v>
      </c>
      <c r="G147" s="77">
        <f t="shared" si="18"/>
        <v>0</v>
      </c>
      <c r="H147" s="209"/>
      <c r="I147" s="144"/>
      <c r="J147" s="102"/>
      <c r="K147" s="47"/>
      <c r="L147" s="243"/>
      <c r="M147" s="116"/>
      <c r="N147" s="285"/>
      <c r="O147" s="160">
        <v>84</v>
      </c>
      <c r="P147" s="98">
        <f t="shared" ref="P147:P156" si="35">O147*D147</f>
        <v>0</v>
      </c>
      <c r="Q147" s="285"/>
      <c r="R147" s="187"/>
      <c r="S147" s="116"/>
      <c r="T147" s="285"/>
      <c r="U147" s="187"/>
      <c r="V147" s="116"/>
      <c r="W147" s="285"/>
      <c r="X147" s="187"/>
      <c r="Y147" s="139"/>
      <c r="Z147" s="285"/>
      <c r="AA147" s="187"/>
      <c r="AB147" s="116"/>
      <c r="AC147" s="285"/>
      <c r="AD147" s="187"/>
      <c r="AE147" s="116"/>
      <c r="AF147" s="127"/>
    </row>
    <row r="148" spans="1:32" ht="13">
      <c r="A148" s="230" t="s">
        <v>344</v>
      </c>
      <c r="B148" s="68" t="s">
        <v>265</v>
      </c>
      <c r="C148" s="15" t="s">
        <v>2</v>
      </c>
      <c r="D148" s="16"/>
      <c r="F148" s="17">
        <f t="shared" ref="F148:F156" si="36">SUM(I148+L148+O148+R148+U148+X148+AA148+AD148)</f>
        <v>28</v>
      </c>
      <c r="G148" s="77">
        <f t="shared" si="18"/>
        <v>0</v>
      </c>
      <c r="H148" s="209"/>
      <c r="I148" s="144"/>
      <c r="J148" s="102"/>
      <c r="K148" s="47"/>
      <c r="L148" s="243"/>
      <c r="M148" s="116"/>
      <c r="N148" s="285"/>
      <c r="O148" s="160">
        <v>28</v>
      </c>
      <c r="P148" s="98">
        <f t="shared" si="35"/>
        <v>0</v>
      </c>
      <c r="Q148" s="285"/>
      <c r="R148" s="187"/>
      <c r="S148" s="116"/>
      <c r="T148" s="285"/>
      <c r="U148" s="187"/>
      <c r="V148" s="116"/>
      <c r="W148" s="285"/>
      <c r="X148" s="187"/>
      <c r="Y148" s="139"/>
      <c r="Z148" s="285"/>
      <c r="AA148" s="187"/>
      <c r="AB148" s="116"/>
      <c r="AC148" s="285"/>
      <c r="AD148" s="187"/>
      <c r="AE148" s="116"/>
      <c r="AF148" s="127"/>
    </row>
    <row r="149" spans="1:32" ht="13">
      <c r="A149" s="230" t="s">
        <v>161</v>
      </c>
      <c r="B149" s="68" t="s">
        <v>272</v>
      </c>
      <c r="C149" s="15" t="s">
        <v>2</v>
      </c>
      <c r="D149" s="16"/>
      <c r="F149" s="17">
        <f t="shared" si="36"/>
        <v>36</v>
      </c>
      <c r="G149" s="77">
        <f t="shared" si="18"/>
        <v>0</v>
      </c>
      <c r="H149" s="209"/>
      <c r="I149" s="144"/>
      <c r="J149" s="102"/>
      <c r="K149" s="47"/>
      <c r="L149" s="243"/>
      <c r="M149" s="116"/>
      <c r="N149" s="285"/>
      <c r="O149" s="160">
        <v>36</v>
      </c>
      <c r="P149" s="98">
        <f t="shared" si="35"/>
        <v>0</v>
      </c>
      <c r="Q149" s="285"/>
      <c r="R149" s="187"/>
      <c r="S149" s="116"/>
      <c r="T149" s="285"/>
      <c r="U149" s="187"/>
      <c r="V149" s="116"/>
      <c r="W149" s="285"/>
      <c r="X149" s="187"/>
      <c r="Y149" s="139"/>
      <c r="Z149" s="285"/>
      <c r="AA149" s="187"/>
      <c r="AB149" s="116"/>
      <c r="AC149" s="285"/>
      <c r="AD149" s="187"/>
      <c r="AE149" s="116"/>
      <c r="AF149" s="127"/>
    </row>
    <row r="150" spans="1:32" ht="13">
      <c r="A150" s="230" t="s">
        <v>162</v>
      </c>
      <c r="B150" s="68" t="s">
        <v>273</v>
      </c>
      <c r="C150" s="15" t="s">
        <v>2</v>
      </c>
      <c r="D150" s="16"/>
      <c r="F150" s="17">
        <f t="shared" si="36"/>
        <v>56</v>
      </c>
      <c r="G150" s="77">
        <f t="shared" si="18"/>
        <v>0</v>
      </c>
      <c r="H150" s="209"/>
      <c r="I150" s="144"/>
      <c r="J150" s="102"/>
      <c r="K150" s="47"/>
      <c r="L150" s="243"/>
      <c r="M150" s="116"/>
      <c r="N150" s="285"/>
      <c r="O150" s="160">
        <v>56</v>
      </c>
      <c r="P150" s="98">
        <f t="shared" si="35"/>
        <v>0</v>
      </c>
      <c r="Q150" s="285"/>
      <c r="R150" s="187"/>
      <c r="S150" s="116"/>
      <c r="T150" s="285"/>
      <c r="U150" s="187"/>
      <c r="V150" s="116"/>
      <c r="W150" s="285"/>
      <c r="X150" s="187"/>
      <c r="Y150" s="139"/>
      <c r="Z150" s="285"/>
      <c r="AA150" s="187"/>
      <c r="AB150" s="116"/>
      <c r="AC150" s="285"/>
      <c r="AD150" s="187"/>
      <c r="AE150" s="116"/>
      <c r="AF150" s="127"/>
    </row>
    <row r="151" spans="1:32" ht="13">
      <c r="A151" s="230" t="s">
        <v>163</v>
      </c>
      <c r="B151" s="68" t="s">
        <v>274</v>
      </c>
      <c r="C151" s="15" t="s">
        <v>2</v>
      </c>
      <c r="D151" s="16"/>
      <c r="F151" s="17">
        <f t="shared" si="36"/>
        <v>80</v>
      </c>
      <c r="G151" s="77">
        <f t="shared" si="18"/>
        <v>0</v>
      </c>
      <c r="H151" s="209"/>
      <c r="I151" s="144"/>
      <c r="J151" s="102"/>
      <c r="K151" s="47"/>
      <c r="L151" s="243"/>
      <c r="M151" s="116"/>
      <c r="N151" s="285"/>
      <c r="O151" s="160">
        <v>80</v>
      </c>
      <c r="P151" s="98">
        <f t="shared" si="35"/>
        <v>0</v>
      </c>
      <c r="Q151" s="285"/>
      <c r="R151" s="187"/>
      <c r="S151" s="116"/>
      <c r="T151" s="285"/>
      <c r="U151" s="187"/>
      <c r="V151" s="116"/>
      <c r="W151" s="285"/>
      <c r="X151" s="187"/>
      <c r="Y151" s="139"/>
      <c r="Z151" s="285"/>
      <c r="AA151" s="187"/>
      <c r="AB151" s="116"/>
      <c r="AC151" s="285"/>
      <c r="AD151" s="187"/>
      <c r="AE151" s="116"/>
      <c r="AF151" s="127"/>
    </row>
    <row r="152" spans="1:32" ht="13">
      <c r="A152" s="230" t="s">
        <v>164</v>
      </c>
      <c r="B152" s="68" t="s">
        <v>275</v>
      </c>
      <c r="C152" s="15" t="s">
        <v>2</v>
      </c>
      <c r="D152" s="16"/>
      <c r="F152" s="17">
        <f t="shared" si="36"/>
        <v>196</v>
      </c>
      <c r="G152" s="77">
        <f t="shared" si="18"/>
        <v>0</v>
      </c>
      <c r="H152" s="209"/>
      <c r="I152" s="144"/>
      <c r="J152" s="102"/>
      <c r="K152" s="47"/>
      <c r="L152" s="243"/>
      <c r="M152" s="116"/>
      <c r="N152" s="285"/>
      <c r="O152" s="160">
        <v>196</v>
      </c>
      <c r="P152" s="98">
        <f t="shared" si="35"/>
        <v>0</v>
      </c>
      <c r="Q152" s="285"/>
      <c r="R152" s="187"/>
      <c r="S152" s="116"/>
      <c r="T152" s="285"/>
      <c r="U152" s="187"/>
      <c r="V152" s="116"/>
      <c r="W152" s="285"/>
      <c r="X152" s="187"/>
      <c r="Y152" s="139"/>
      <c r="Z152" s="285"/>
      <c r="AA152" s="187"/>
      <c r="AB152" s="116"/>
      <c r="AC152" s="285"/>
      <c r="AD152" s="187"/>
      <c r="AE152" s="116"/>
      <c r="AF152" s="127"/>
    </row>
    <row r="153" spans="1:32" ht="13">
      <c r="A153" s="230" t="s">
        <v>165</v>
      </c>
      <c r="B153" s="68" t="s">
        <v>276</v>
      </c>
      <c r="C153" s="15" t="s">
        <v>2</v>
      </c>
      <c r="D153" s="16"/>
      <c r="F153" s="17">
        <f t="shared" si="36"/>
        <v>128</v>
      </c>
      <c r="G153" s="77">
        <f t="shared" si="18"/>
        <v>0</v>
      </c>
      <c r="H153" s="209"/>
      <c r="I153" s="144"/>
      <c r="J153" s="102"/>
      <c r="K153" s="47"/>
      <c r="L153" s="243"/>
      <c r="M153" s="116"/>
      <c r="N153" s="285"/>
      <c r="O153" s="160">
        <f>80+48</f>
        <v>128</v>
      </c>
      <c r="P153" s="98">
        <f t="shared" si="35"/>
        <v>0</v>
      </c>
      <c r="Q153" s="285"/>
      <c r="R153" s="187"/>
      <c r="S153" s="116"/>
      <c r="T153" s="285"/>
      <c r="U153" s="187"/>
      <c r="V153" s="116"/>
      <c r="W153" s="285"/>
      <c r="X153" s="187"/>
      <c r="Y153" s="139"/>
      <c r="Z153" s="285"/>
      <c r="AA153" s="187"/>
      <c r="AB153" s="116"/>
      <c r="AC153" s="285"/>
      <c r="AD153" s="187"/>
      <c r="AE153" s="116"/>
      <c r="AF153" s="127"/>
    </row>
    <row r="154" spans="1:32" ht="13">
      <c r="A154" s="230" t="s">
        <v>166</v>
      </c>
      <c r="B154" s="68" t="s">
        <v>277</v>
      </c>
      <c r="C154" s="15" t="s">
        <v>2</v>
      </c>
      <c r="D154" s="16"/>
      <c r="F154" s="17">
        <f t="shared" si="36"/>
        <v>52</v>
      </c>
      <c r="G154" s="77">
        <f t="shared" si="18"/>
        <v>0</v>
      </c>
      <c r="H154" s="209"/>
      <c r="I154" s="144"/>
      <c r="J154" s="102"/>
      <c r="K154" s="47"/>
      <c r="L154" s="243"/>
      <c r="M154" s="116"/>
      <c r="N154" s="285"/>
      <c r="O154" s="160">
        <v>52</v>
      </c>
      <c r="P154" s="98">
        <f t="shared" si="35"/>
        <v>0</v>
      </c>
      <c r="Q154" s="285"/>
      <c r="R154" s="187"/>
      <c r="S154" s="116"/>
      <c r="T154" s="285"/>
      <c r="U154" s="187"/>
      <c r="V154" s="116"/>
      <c r="W154" s="285"/>
      <c r="X154" s="187"/>
      <c r="Y154" s="139"/>
      <c r="Z154" s="285"/>
      <c r="AA154" s="187"/>
      <c r="AB154" s="116"/>
      <c r="AC154" s="285"/>
      <c r="AD154" s="187"/>
      <c r="AE154" s="116"/>
      <c r="AF154" s="127"/>
    </row>
    <row r="155" spans="1:32" ht="13">
      <c r="A155" s="230" t="s">
        <v>167</v>
      </c>
      <c r="B155" s="68" t="s">
        <v>269</v>
      </c>
      <c r="C155" s="15" t="s">
        <v>2</v>
      </c>
      <c r="D155" s="16"/>
      <c r="F155" s="17">
        <f t="shared" si="36"/>
        <v>112</v>
      </c>
      <c r="G155" s="77">
        <f t="shared" si="18"/>
        <v>0</v>
      </c>
      <c r="H155" s="209"/>
      <c r="I155" s="144"/>
      <c r="J155" s="102"/>
      <c r="K155" s="47"/>
      <c r="L155" s="243"/>
      <c r="M155" s="116"/>
      <c r="N155" s="285"/>
      <c r="O155" s="160">
        <f>60+52</f>
        <v>112</v>
      </c>
      <c r="P155" s="98">
        <f t="shared" si="35"/>
        <v>0</v>
      </c>
      <c r="Q155" s="285"/>
      <c r="R155" s="187"/>
      <c r="S155" s="116"/>
      <c r="T155" s="285"/>
      <c r="U155" s="187"/>
      <c r="V155" s="116"/>
      <c r="W155" s="285"/>
      <c r="X155" s="187"/>
      <c r="Y155" s="139"/>
      <c r="Z155" s="285"/>
      <c r="AA155" s="187"/>
      <c r="AB155" s="116"/>
      <c r="AC155" s="285"/>
      <c r="AD155" s="187"/>
      <c r="AE155" s="116"/>
      <c r="AF155" s="127"/>
    </row>
    <row r="156" spans="1:32" ht="13">
      <c r="A156" s="230" t="s">
        <v>168</v>
      </c>
      <c r="B156" s="68" t="s">
        <v>270</v>
      </c>
      <c r="C156" s="15" t="s">
        <v>2</v>
      </c>
      <c r="D156" s="16"/>
      <c r="F156" s="17">
        <f t="shared" si="36"/>
        <v>60</v>
      </c>
      <c r="G156" s="77">
        <f t="shared" si="18"/>
        <v>0</v>
      </c>
      <c r="H156" s="209"/>
      <c r="I156" s="144"/>
      <c r="J156" s="102"/>
      <c r="K156" s="47"/>
      <c r="L156" s="243"/>
      <c r="M156" s="116"/>
      <c r="N156" s="285"/>
      <c r="O156" s="160">
        <v>60</v>
      </c>
      <c r="P156" s="98">
        <f t="shared" si="35"/>
        <v>0</v>
      </c>
      <c r="Q156" s="285"/>
      <c r="R156" s="187"/>
      <c r="S156" s="116"/>
      <c r="T156" s="285"/>
      <c r="U156" s="187"/>
      <c r="V156" s="116"/>
      <c r="W156" s="285"/>
      <c r="X156" s="187"/>
      <c r="Y156" s="139"/>
      <c r="Z156" s="285"/>
      <c r="AA156" s="187"/>
      <c r="AB156" s="116"/>
      <c r="AC156" s="285"/>
      <c r="AD156" s="187"/>
      <c r="AE156" s="116"/>
      <c r="AF156" s="127"/>
    </row>
    <row r="157" spans="1:32" ht="13">
      <c r="A157" s="231"/>
      <c r="B157" s="304" t="s">
        <v>246</v>
      </c>
      <c r="C157" s="71"/>
      <c r="D157" s="72"/>
      <c r="F157" s="76"/>
      <c r="G157" s="73"/>
      <c r="H157" s="209"/>
      <c r="I157" s="177"/>
      <c r="J157" s="73"/>
      <c r="K157" s="47"/>
      <c r="L157" s="70"/>
      <c r="M157" s="101"/>
      <c r="N157" s="285"/>
      <c r="O157" s="244"/>
      <c r="P157" s="101"/>
      <c r="Q157" s="285"/>
      <c r="R157" s="244"/>
      <c r="S157" s="101"/>
      <c r="T157" s="285"/>
      <c r="U157" s="244"/>
      <c r="V157" s="101"/>
      <c r="W157" s="285"/>
      <c r="X157" s="244"/>
      <c r="Y157" s="193"/>
      <c r="Z157" s="285"/>
      <c r="AA157" s="244"/>
      <c r="AB157" s="101"/>
      <c r="AC157" s="285"/>
      <c r="AD157" s="244"/>
      <c r="AE157" s="101"/>
      <c r="AF157" s="127"/>
    </row>
    <row r="158" spans="1:32" ht="13">
      <c r="A158" s="230" t="s">
        <v>169</v>
      </c>
      <c r="B158" s="68" t="s">
        <v>278</v>
      </c>
      <c r="C158" s="15" t="s">
        <v>2</v>
      </c>
      <c r="D158" s="16"/>
      <c r="F158" s="17">
        <f>SUM(+I158+L158+O158+R158+U158+X158+AA158+AD158)</f>
        <v>88</v>
      </c>
      <c r="G158" s="77">
        <f t="shared" si="18"/>
        <v>0</v>
      </c>
      <c r="H158" s="209"/>
      <c r="I158" s="144"/>
      <c r="J158" s="102"/>
      <c r="K158" s="47"/>
      <c r="L158" s="243"/>
      <c r="M158" s="116"/>
      <c r="N158" s="285"/>
      <c r="O158" s="187"/>
      <c r="P158" s="116"/>
      <c r="Q158" s="285"/>
      <c r="R158" s="160">
        <f>36+52</f>
        <v>88</v>
      </c>
      <c r="S158" s="98">
        <f t="shared" ref="S158:S164" si="37">R158*D158</f>
        <v>0</v>
      </c>
      <c r="T158" s="285"/>
      <c r="U158" s="187"/>
      <c r="V158" s="116"/>
      <c r="W158" s="285"/>
      <c r="X158" s="187"/>
      <c r="Y158" s="139"/>
      <c r="Z158" s="285"/>
      <c r="AA158" s="187"/>
      <c r="AB158" s="116"/>
      <c r="AC158" s="285"/>
      <c r="AD158" s="187"/>
      <c r="AE158" s="116"/>
      <c r="AF158" s="127"/>
    </row>
    <row r="159" spans="1:32" ht="13">
      <c r="A159" s="230" t="s">
        <v>170</v>
      </c>
      <c r="B159" s="68" t="s">
        <v>281</v>
      </c>
      <c r="C159" s="15" t="s">
        <v>2</v>
      </c>
      <c r="D159" s="16"/>
      <c r="F159" s="17">
        <f t="shared" ref="F159:F164" si="38">SUM(+I159+L159+O159+R159+U159+X159+AA159+AD159)</f>
        <v>60</v>
      </c>
      <c r="G159" s="77">
        <f t="shared" si="18"/>
        <v>0</v>
      </c>
      <c r="H159" s="209"/>
      <c r="I159" s="144"/>
      <c r="J159" s="102"/>
      <c r="K159" s="47"/>
      <c r="L159" s="243"/>
      <c r="M159" s="116"/>
      <c r="N159" s="285"/>
      <c r="O159" s="187"/>
      <c r="P159" s="116"/>
      <c r="Q159" s="285"/>
      <c r="R159" s="160">
        <f>60</f>
        <v>60</v>
      </c>
      <c r="S159" s="98">
        <f t="shared" si="37"/>
        <v>0</v>
      </c>
      <c r="T159" s="285"/>
      <c r="U159" s="187"/>
      <c r="V159" s="116"/>
      <c r="W159" s="285"/>
      <c r="X159" s="187"/>
      <c r="Y159" s="139"/>
      <c r="Z159" s="285"/>
      <c r="AA159" s="187"/>
      <c r="AB159" s="116"/>
      <c r="AC159" s="285"/>
      <c r="AD159" s="187"/>
      <c r="AE159" s="116"/>
      <c r="AF159" s="127"/>
    </row>
    <row r="160" spans="1:32" ht="13">
      <c r="A160" s="230" t="s">
        <v>171</v>
      </c>
      <c r="B160" s="68" t="s">
        <v>279</v>
      </c>
      <c r="C160" s="15" t="s">
        <v>2</v>
      </c>
      <c r="D160" s="16"/>
      <c r="F160" s="17">
        <f t="shared" si="38"/>
        <v>96</v>
      </c>
      <c r="G160" s="77">
        <f t="shared" si="18"/>
        <v>0</v>
      </c>
      <c r="H160" s="209"/>
      <c r="I160" s="144"/>
      <c r="J160" s="102"/>
      <c r="K160" s="47"/>
      <c r="L160" s="243"/>
      <c r="M160" s="116"/>
      <c r="N160" s="285"/>
      <c r="O160" s="187"/>
      <c r="P160" s="116"/>
      <c r="Q160" s="285"/>
      <c r="R160" s="160">
        <f>48+48</f>
        <v>96</v>
      </c>
      <c r="S160" s="98">
        <f t="shared" si="37"/>
        <v>0</v>
      </c>
      <c r="T160" s="285"/>
      <c r="U160" s="187"/>
      <c r="V160" s="116"/>
      <c r="W160" s="285"/>
      <c r="X160" s="187"/>
      <c r="Y160" s="139"/>
      <c r="Z160" s="285"/>
      <c r="AA160" s="187"/>
      <c r="AB160" s="116"/>
      <c r="AC160" s="285"/>
      <c r="AD160" s="187"/>
      <c r="AE160" s="116"/>
      <c r="AF160" s="127"/>
    </row>
    <row r="161" spans="1:32" ht="13">
      <c r="A161" s="230" t="s">
        <v>172</v>
      </c>
      <c r="B161" s="68" t="s">
        <v>259</v>
      </c>
      <c r="C161" s="15" t="s">
        <v>2</v>
      </c>
      <c r="D161" s="16"/>
      <c r="F161" s="17">
        <f t="shared" si="38"/>
        <v>116</v>
      </c>
      <c r="G161" s="77">
        <f t="shared" si="18"/>
        <v>0</v>
      </c>
      <c r="H161" s="209"/>
      <c r="I161" s="144"/>
      <c r="J161" s="102"/>
      <c r="K161" s="47"/>
      <c r="L161" s="243"/>
      <c r="M161" s="116"/>
      <c r="N161" s="285"/>
      <c r="O161" s="187"/>
      <c r="P161" s="116"/>
      <c r="Q161" s="285"/>
      <c r="R161" s="160">
        <f>20+96</f>
        <v>116</v>
      </c>
      <c r="S161" s="98">
        <f t="shared" si="37"/>
        <v>0</v>
      </c>
      <c r="T161" s="285"/>
      <c r="U161" s="187"/>
      <c r="V161" s="116"/>
      <c r="W161" s="285"/>
      <c r="X161" s="187"/>
      <c r="Y161" s="139"/>
      <c r="Z161" s="285"/>
      <c r="AA161" s="187"/>
      <c r="AB161" s="116"/>
      <c r="AC161" s="285"/>
      <c r="AD161" s="187"/>
      <c r="AE161" s="116"/>
      <c r="AF161" s="127"/>
    </row>
    <row r="162" spans="1:32" ht="13">
      <c r="A162" s="230" t="s">
        <v>173</v>
      </c>
      <c r="B162" s="68" t="s">
        <v>283</v>
      </c>
      <c r="C162" s="15" t="s">
        <v>2</v>
      </c>
      <c r="D162" s="16"/>
      <c r="F162" s="17">
        <f t="shared" si="38"/>
        <v>3</v>
      </c>
      <c r="G162" s="77">
        <f t="shared" si="18"/>
        <v>0</v>
      </c>
      <c r="H162" s="209"/>
      <c r="I162" s="144"/>
      <c r="J162" s="102"/>
      <c r="K162" s="47"/>
      <c r="L162" s="243"/>
      <c r="M162" s="116"/>
      <c r="N162" s="285"/>
      <c r="O162" s="187"/>
      <c r="P162" s="116"/>
      <c r="Q162" s="285"/>
      <c r="R162" s="160">
        <v>3</v>
      </c>
      <c r="S162" s="98">
        <f t="shared" si="37"/>
        <v>0</v>
      </c>
      <c r="T162" s="285"/>
      <c r="U162" s="187"/>
      <c r="V162" s="116"/>
      <c r="W162" s="285"/>
      <c r="X162" s="187"/>
      <c r="Y162" s="139"/>
      <c r="Z162" s="285"/>
      <c r="AA162" s="187"/>
      <c r="AB162" s="116"/>
      <c r="AC162" s="285"/>
      <c r="AD162" s="187"/>
      <c r="AE162" s="116"/>
      <c r="AF162" s="127"/>
    </row>
    <row r="163" spans="1:32" ht="13">
      <c r="A163" s="230" t="s">
        <v>174</v>
      </c>
      <c r="B163" s="68" t="s">
        <v>280</v>
      </c>
      <c r="C163" s="15" t="s">
        <v>2</v>
      </c>
      <c r="D163" s="16"/>
      <c r="F163" s="17">
        <f t="shared" si="38"/>
        <v>80</v>
      </c>
      <c r="G163" s="77">
        <f t="shared" si="18"/>
        <v>0</v>
      </c>
      <c r="H163" s="209"/>
      <c r="I163" s="144"/>
      <c r="J163" s="102"/>
      <c r="K163" s="47"/>
      <c r="L163" s="243"/>
      <c r="M163" s="116"/>
      <c r="N163" s="285"/>
      <c r="O163" s="187"/>
      <c r="P163" s="116"/>
      <c r="Q163" s="285"/>
      <c r="R163" s="160">
        <f>28+52</f>
        <v>80</v>
      </c>
      <c r="S163" s="98">
        <f t="shared" si="37"/>
        <v>0</v>
      </c>
      <c r="T163" s="285"/>
      <c r="U163" s="187"/>
      <c r="V163" s="116"/>
      <c r="W163" s="285"/>
      <c r="X163" s="187"/>
      <c r="Y163" s="139"/>
      <c r="Z163" s="285"/>
      <c r="AA163" s="187"/>
      <c r="AB163" s="116"/>
      <c r="AC163" s="285"/>
      <c r="AD163" s="187"/>
      <c r="AE163" s="116"/>
      <c r="AF163" s="127"/>
    </row>
    <row r="164" spans="1:32" ht="13">
      <c r="A164" s="230" t="s">
        <v>175</v>
      </c>
      <c r="B164" s="68" t="s">
        <v>282</v>
      </c>
      <c r="C164" s="15" t="s">
        <v>2</v>
      </c>
      <c r="D164" s="16"/>
      <c r="F164" s="17">
        <f t="shared" si="38"/>
        <v>108</v>
      </c>
      <c r="G164" s="77">
        <f t="shared" si="18"/>
        <v>0</v>
      </c>
      <c r="H164" s="209"/>
      <c r="I164" s="144"/>
      <c r="J164" s="102"/>
      <c r="K164" s="47"/>
      <c r="L164" s="243"/>
      <c r="M164" s="116"/>
      <c r="N164" s="285"/>
      <c r="O164" s="187"/>
      <c r="P164" s="116"/>
      <c r="Q164" s="285"/>
      <c r="R164" s="160">
        <f>45+63</f>
        <v>108</v>
      </c>
      <c r="S164" s="98">
        <f t="shared" si="37"/>
        <v>0</v>
      </c>
      <c r="T164" s="285"/>
      <c r="U164" s="187"/>
      <c r="V164" s="116"/>
      <c r="W164" s="285"/>
      <c r="X164" s="187"/>
      <c r="Y164" s="139"/>
      <c r="Z164" s="285"/>
      <c r="AA164" s="187"/>
      <c r="AB164" s="116"/>
      <c r="AC164" s="285"/>
      <c r="AD164" s="187"/>
      <c r="AE164" s="116"/>
      <c r="AF164" s="127"/>
    </row>
    <row r="165" spans="1:32" ht="13">
      <c r="A165" s="231"/>
      <c r="B165" s="304" t="s">
        <v>253</v>
      </c>
      <c r="C165" s="71"/>
      <c r="D165" s="72"/>
      <c r="F165" s="76"/>
      <c r="G165" s="73"/>
      <c r="H165" s="209"/>
      <c r="I165" s="177"/>
      <c r="J165" s="73"/>
      <c r="K165" s="47"/>
      <c r="L165" s="70"/>
      <c r="M165" s="101"/>
      <c r="N165" s="285"/>
      <c r="O165" s="244"/>
      <c r="P165" s="101"/>
      <c r="Q165" s="285"/>
      <c r="R165" s="244"/>
      <c r="S165" s="101"/>
      <c r="T165" s="285"/>
      <c r="U165" s="244"/>
      <c r="V165" s="101"/>
      <c r="W165" s="285"/>
      <c r="X165" s="244"/>
      <c r="Y165" s="193"/>
      <c r="Z165" s="285"/>
      <c r="AA165" s="244"/>
      <c r="AB165" s="101"/>
      <c r="AC165" s="285"/>
      <c r="AD165" s="244"/>
      <c r="AE165" s="101"/>
      <c r="AF165" s="127"/>
    </row>
    <row r="166" spans="1:32" ht="13">
      <c r="A166" s="230" t="s">
        <v>176</v>
      </c>
      <c r="B166" s="68" t="s">
        <v>247</v>
      </c>
      <c r="C166" s="15" t="s">
        <v>2</v>
      </c>
      <c r="D166" s="16"/>
      <c r="F166" s="17">
        <f>SUM(+I166+L166+O166+R166+U166+X166+AA166+AD166)</f>
        <v>225</v>
      </c>
      <c r="G166" s="77">
        <f t="shared" si="18"/>
        <v>0</v>
      </c>
      <c r="H166" s="209"/>
      <c r="I166" s="144"/>
      <c r="J166" s="102"/>
      <c r="K166" s="47"/>
      <c r="L166" s="243"/>
      <c r="M166" s="116"/>
      <c r="N166" s="285"/>
      <c r="O166" s="187"/>
      <c r="P166" s="116"/>
      <c r="Q166" s="285"/>
      <c r="R166" s="187"/>
      <c r="S166" s="116"/>
      <c r="T166" s="285"/>
      <c r="U166" s="187"/>
      <c r="V166" s="116"/>
      <c r="W166" s="285"/>
      <c r="X166" s="187"/>
      <c r="Y166" s="139"/>
      <c r="Z166" s="285"/>
      <c r="AA166" s="160">
        <v>225</v>
      </c>
      <c r="AB166" s="98">
        <f t="shared" ref="AB166:AB171" si="39">D166*AA166</f>
        <v>0</v>
      </c>
      <c r="AC166" s="285"/>
      <c r="AD166" s="187"/>
      <c r="AE166" s="116"/>
      <c r="AF166" s="127"/>
    </row>
    <row r="167" spans="1:32" ht="13">
      <c r="A167" s="230" t="s">
        <v>177</v>
      </c>
      <c r="B167" s="68" t="s">
        <v>248</v>
      </c>
      <c r="C167" s="15" t="s">
        <v>2</v>
      </c>
      <c r="D167" s="16"/>
      <c r="F167" s="17">
        <f t="shared" ref="F167:F171" si="40">SUM(+I167+L167+O167+R167+U167+X167+AA167+AD167)</f>
        <v>225</v>
      </c>
      <c r="G167" s="77">
        <f t="shared" si="18"/>
        <v>0</v>
      </c>
      <c r="H167" s="209"/>
      <c r="I167" s="144"/>
      <c r="J167" s="102"/>
      <c r="K167" s="47"/>
      <c r="L167" s="243"/>
      <c r="M167" s="116"/>
      <c r="N167" s="285"/>
      <c r="O167" s="187"/>
      <c r="P167" s="116"/>
      <c r="Q167" s="285"/>
      <c r="R167" s="187"/>
      <c r="S167" s="116"/>
      <c r="T167" s="285"/>
      <c r="U167" s="187"/>
      <c r="V167" s="116"/>
      <c r="W167" s="285"/>
      <c r="X167" s="187"/>
      <c r="Y167" s="139"/>
      <c r="Z167" s="285"/>
      <c r="AA167" s="160">
        <v>225</v>
      </c>
      <c r="AB167" s="98">
        <f t="shared" si="39"/>
        <v>0</v>
      </c>
      <c r="AC167" s="285"/>
      <c r="AD167" s="187"/>
      <c r="AE167" s="116"/>
      <c r="AF167" s="127"/>
    </row>
    <row r="168" spans="1:32" ht="13">
      <c r="A168" s="230" t="s">
        <v>179</v>
      </c>
      <c r="B168" s="68" t="s">
        <v>249</v>
      </c>
      <c r="C168" s="15" t="s">
        <v>2</v>
      </c>
      <c r="D168" s="16"/>
      <c r="F168" s="17">
        <f t="shared" si="40"/>
        <v>225</v>
      </c>
      <c r="G168" s="77">
        <f t="shared" si="18"/>
        <v>0</v>
      </c>
      <c r="H168" s="209"/>
      <c r="I168" s="144"/>
      <c r="J168" s="102"/>
      <c r="K168" s="47"/>
      <c r="L168" s="243"/>
      <c r="M168" s="116"/>
      <c r="N168" s="285"/>
      <c r="O168" s="187"/>
      <c r="P168" s="116"/>
      <c r="Q168" s="285"/>
      <c r="R168" s="187"/>
      <c r="S168" s="116"/>
      <c r="T168" s="285"/>
      <c r="U168" s="187"/>
      <c r="V168" s="116"/>
      <c r="W168" s="285"/>
      <c r="X168" s="187"/>
      <c r="Y168" s="139"/>
      <c r="Z168" s="285"/>
      <c r="AA168" s="160">
        <v>225</v>
      </c>
      <c r="AB168" s="98">
        <f t="shared" si="39"/>
        <v>0</v>
      </c>
      <c r="AC168" s="285"/>
      <c r="AD168" s="187"/>
      <c r="AE168" s="116"/>
      <c r="AF168" s="127"/>
    </row>
    <row r="169" spans="1:32" ht="13">
      <c r="A169" s="230" t="s">
        <v>180</v>
      </c>
      <c r="B169" s="68" t="s">
        <v>250</v>
      </c>
      <c r="C169" s="15" t="s">
        <v>2</v>
      </c>
      <c r="D169" s="16"/>
      <c r="F169" s="17">
        <f t="shared" si="40"/>
        <v>225</v>
      </c>
      <c r="G169" s="77">
        <f t="shared" si="18"/>
        <v>0</v>
      </c>
      <c r="H169" s="209"/>
      <c r="I169" s="144"/>
      <c r="J169" s="102"/>
      <c r="K169" s="47"/>
      <c r="L169" s="243"/>
      <c r="M169" s="116"/>
      <c r="N169" s="285"/>
      <c r="O169" s="187"/>
      <c r="P169" s="116"/>
      <c r="Q169" s="285"/>
      <c r="R169" s="187"/>
      <c r="S169" s="116"/>
      <c r="T169" s="285"/>
      <c r="U169" s="187"/>
      <c r="V169" s="116"/>
      <c r="W169" s="285"/>
      <c r="X169" s="187"/>
      <c r="Y169" s="139"/>
      <c r="Z169" s="285"/>
      <c r="AA169" s="160">
        <v>225</v>
      </c>
      <c r="AB169" s="98">
        <f t="shared" si="39"/>
        <v>0</v>
      </c>
      <c r="AC169" s="285"/>
      <c r="AD169" s="187"/>
      <c r="AE169" s="116"/>
      <c r="AF169" s="127"/>
    </row>
    <row r="170" spans="1:32" ht="13">
      <c r="A170" s="230" t="s">
        <v>181</v>
      </c>
      <c r="B170" s="68" t="s">
        <v>251</v>
      </c>
      <c r="C170" s="15" t="s">
        <v>2</v>
      </c>
      <c r="D170" s="16"/>
      <c r="F170" s="17">
        <f t="shared" si="40"/>
        <v>225</v>
      </c>
      <c r="G170" s="77">
        <f t="shared" si="18"/>
        <v>0</v>
      </c>
      <c r="H170" s="209"/>
      <c r="I170" s="144"/>
      <c r="J170" s="102"/>
      <c r="K170" s="47"/>
      <c r="L170" s="243"/>
      <c r="M170" s="116"/>
      <c r="N170" s="285"/>
      <c r="O170" s="187"/>
      <c r="P170" s="116"/>
      <c r="Q170" s="285"/>
      <c r="R170" s="187"/>
      <c r="S170" s="116"/>
      <c r="T170" s="285"/>
      <c r="U170" s="187"/>
      <c r="V170" s="116"/>
      <c r="W170" s="285"/>
      <c r="X170" s="187"/>
      <c r="Y170" s="139"/>
      <c r="Z170" s="285"/>
      <c r="AA170" s="160">
        <v>225</v>
      </c>
      <c r="AB170" s="98">
        <f t="shared" si="39"/>
        <v>0</v>
      </c>
      <c r="AC170" s="285"/>
      <c r="AD170" s="187"/>
      <c r="AE170" s="116"/>
      <c r="AF170" s="127"/>
    </row>
    <row r="171" spans="1:32" ht="13">
      <c r="A171" s="230" t="s">
        <v>182</v>
      </c>
      <c r="B171" s="68" t="s">
        <v>252</v>
      </c>
      <c r="C171" s="15" t="s">
        <v>2</v>
      </c>
      <c r="D171" s="16"/>
      <c r="F171" s="17">
        <f t="shared" si="40"/>
        <v>225</v>
      </c>
      <c r="G171" s="77">
        <f t="shared" si="18"/>
        <v>0</v>
      </c>
      <c r="H171" s="209"/>
      <c r="I171" s="144"/>
      <c r="J171" s="102"/>
      <c r="K171" s="47"/>
      <c r="L171" s="243"/>
      <c r="M171" s="116"/>
      <c r="N171" s="285"/>
      <c r="O171" s="187"/>
      <c r="P171" s="116"/>
      <c r="Q171" s="285"/>
      <c r="R171" s="187"/>
      <c r="S171" s="116"/>
      <c r="T171" s="285"/>
      <c r="U171" s="187"/>
      <c r="V171" s="116"/>
      <c r="W171" s="285"/>
      <c r="X171" s="187"/>
      <c r="Y171" s="139"/>
      <c r="Z171" s="285"/>
      <c r="AA171" s="160">
        <v>225</v>
      </c>
      <c r="AB171" s="98">
        <f t="shared" si="39"/>
        <v>0</v>
      </c>
      <c r="AC171" s="285"/>
      <c r="AD171" s="187"/>
      <c r="AE171" s="116"/>
      <c r="AF171" s="127"/>
    </row>
    <row r="172" spans="1:32">
      <c r="A172" s="346" t="s">
        <v>29</v>
      </c>
      <c r="B172" s="347"/>
      <c r="C172" s="347"/>
      <c r="D172" s="348"/>
      <c r="E172" s="218"/>
      <c r="F172" s="302" t="s">
        <v>8</v>
      </c>
      <c r="G172" s="303">
        <f>SUM(G173:G180)</f>
        <v>0</v>
      </c>
      <c r="H172" s="232"/>
      <c r="I172" s="155"/>
      <c r="J172" s="73"/>
      <c r="K172" s="77"/>
      <c r="L172" s="88"/>
      <c r="M172" s="101"/>
      <c r="N172" s="91"/>
      <c r="O172" s="155"/>
      <c r="P172" s="101"/>
      <c r="Q172" s="91"/>
      <c r="R172" s="188"/>
      <c r="S172" s="101"/>
      <c r="T172" s="91"/>
      <c r="U172" s="155"/>
      <c r="V172" s="101"/>
      <c r="W172" s="91"/>
      <c r="X172" s="155"/>
      <c r="Y172" s="193"/>
      <c r="Z172" s="91"/>
      <c r="AA172" s="155"/>
      <c r="AB172" s="101"/>
      <c r="AC172" s="91"/>
      <c r="AD172" s="155"/>
      <c r="AE172" s="101"/>
      <c r="AF172" s="127"/>
    </row>
    <row r="173" spans="1:32" ht="13">
      <c r="A173" s="230" t="s">
        <v>345</v>
      </c>
      <c r="B173" s="234" t="s">
        <v>330</v>
      </c>
      <c r="C173" s="235" t="s">
        <v>2</v>
      </c>
      <c r="D173" s="236"/>
      <c r="F173" s="17">
        <f>I173+L173+O173+R173+U173+X173+AA173+AD173</f>
        <v>40</v>
      </c>
      <c r="G173" s="237">
        <f>F173*D173</f>
        <v>0</v>
      </c>
      <c r="H173" s="238"/>
      <c r="I173" s="187"/>
      <c r="J173" s="319"/>
      <c r="K173" s="287"/>
      <c r="L173" s="243"/>
      <c r="M173" s="242"/>
      <c r="N173" s="78"/>
      <c r="O173" s="288"/>
      <c r="P173" s="241"/>
      <c r="Q173" s="78"/>
      <c r="R173" s="243"/>
      <c r="S173" s="102"/>
      <c r="T173" s="78"/>
      <c r="U173" s="288"/>
      <c r="V173" s="241"/>
      <c r="W173" s="78"/>
      <c r="X173" s="243"/>
      <c r="Y173" s="242"/>
      <c r="Z173" s="78"/>
      <c r="AA173" s="18">
        <v>32</v>
      </c>
      <c r="AB173" s="317">
        <f>AA173*D173</f>
        <v>0</v>
      </c>
      <c r="AC173" s="1"/>
      <c r="AD173" s="318">
        <v>8</v>
      </c>
      <c r="AE173" s="77">
        <f>AD173*D173</f>
        <v>0</v>
      </c>
      <c r="AF173" s="127"/>
    </row>
    <row r="174" spans="1:32" ht="13">
      <c r="A174" s="230" t="s">
        <v>346</v>
      </c>
      <c r="B174" s="234" t="s">
        <v>331</v>
      </c>
      <c r="C174" s="235" t="s">
        <v>2</v>
      </c>
      <c r="D174" s="236"/>
      <c r="F174" s="17">
        <f t="shared" ref="F174:F180" si="41">I174+L174+O174+R174+U174+X174+AA174+AD174</f>
        <v>40</v>
      </c>
      <c r="G174" s="237">
        <f t="shared" ref="G174:G180" si="42">F174*D174</f>
        <v>0</v>
      </c>
      <c r="H174" s="183"/>
      <c r="I174" s="18">
        <v>40</v>
      </c>
      <c r="J174" s="317">
        <f>I174*D174</f>
        <v>0</v>
      </c>
      <c r="K174" s="183"/>
      <c r="L174" s="243"/>
      <c r="M174" s="242"/>
      <c r="N174" s="183"/>
      <c r="O174" s="288"/>
      <c r="P174" s="241"/>
      <c r="Q174" s="183"/>
      <c r="R174" s="243"/>
      <c r="S174" s="102"/>
      <c r="T174" s="183"/>
      <c r="U174" s="288"/>
      <c r="V174" s="241"/>
      <c r="W174" s="183"/>
      <c r="X174" s="243"/>
      <c r="Y174" s="242"/>
      <c r="Z174" s="183"/>
      <c r="AA174" s="243"/>
      <c r="AB174" s="242"/>
      <c r="AC174" s="183"/>
      <c r="AD174" s="314"/>
      <c r="AE174" s="102"/>
      <c r="AF174" s="127"/>
    </row>
    <row r="175" spans="1:32" ht="13">
      <c r="A175" s="230" t="s">
        <v>347</v>
      </c>
      <c r="B175" s="234" t="s">
        <v>332</v>
      </c>
      <c r="C175" s="235" t="s">
        <v>2</v>
      </c>
      <c r="D175" s="236"/>
      <c r="F175" s="17">
        <f t="shared" si="41"/>
        <v>80</v>
      </c>
      <c r="G175" s="237">
        <f t="shared" si="42"/>
        <v>0</v>
      </c>
      <c r="H175" s="183"/>
      <c r="I175" s="18">
        <v>40</v>
      </c>
      <c r="J175" s="317">
        <f t="shared" ref="J175:J179" si="43">I175*D175</f>
        <v>0</v>
      </c>
      <c r="K175" s="183"/>
      <c r="L175" s="243"/>
      <c r="M175" s="242"/>
      <c r="N175" s="183"/>
      <c r="O175" s="288"/>
      <c r="P175" s="241"/>
      <c r="Q175" s="183"/>
      <c r="R175" s="243"/>
      <c r="S175" s="102"/>
      <c r="T175" s="183"/>
      <c r="U175" s="288"/>
      <c r="V175" s="241"/>
      <c r="W175" s="183"/>
      <c r="X175" s="243"/>
      <c r="Y175" s="242"/>
      <c r="Z175" s="183"/>
      <c r="AA175" s="18">
        <v>32</v>
      </c>
      <c r="AB175" s="317">
        <f>AA175*D175</f>
        <v>0</v>
      </c>
      <c r="AC175" s="183"/>
      <c r="AD175" s="318">
        <v>8</v>
      </c>
      <c r="AE175" s="77">
        <f t="shared" ref="AE175:AE180" si="44">AD175*D175</f>
        <v>0</v>
      </c>
      <c r="AF175" s="127"/>
    </row>
    <row r="176" spans="1:32" ht="13">
      <c r="A176" s="230" t="s">
        <v>348</v>
      </c>
      <c r="B176" s="234" t="s">
        <v>334</v>
      </c>
      <c r="C176" s="235" t="s">
        <v>2</v>
      </c>
      <c r="D176" s="236"/>
      <c r="F176" s="17">
        <f t="shared" si="41"/>
        <v>3</v>
      </c>
      <c r="G176" s="237">
        <f t="shared" si="42"/>
        <v>0</v>
      </c>
      <c r="H176" s="183"/>
      <c r="I176" s="243"/>
      <c r="J176" s="242"/>
      <c r="K176" s="183"/>
      <c r="L176" s="87"/>
      <c r="M176" s="242"/>
      <c r="N176" s="183"/>
      <c r="O176" s="288"/>
      <c r="P176" s="241"/>
      <c r="Q176" s="183"/>
      <c r="R176" s="243"/>
      <c r="S176" s="102"/>
      <c r="T176" s="183"/>
      <c r="U176" s="18">
        <v>3</v>
      </c>
      <c r="V176" s="317">
        <f>U176*D176</f>
        <v>0</v>
      </c>
      <c r="W176" s="183"/>
      <c r="X176" s="243"/>
      <c r="Y176" s="242"/>
      <c r="Z176" s="183"/>
      <c r="AA176" s="243"/>
      <c r="AB176" s="242"/>
      <c r="AC176" s="183"/>
      <c r="AD176" s="314"/>
      <c r="AE176" s="102"/>
      <c r="AF176" s="127"/>
    </row>
    <row r="177" spans="1:70" ht="13">
      <c r="A177" s="230" t="s">
        <v>349</v>
      </c>
      <c r="B177" s="234" t="s">
        <v>335</v>
      </c>
      <c r="C177" s="235" t="s">
        <v>2</v>
      </c>
      <c r="D177" s="236"/>
      <c r="F177" s="17">
        <f>I177+L177+O177+R177+U177+X177+AA177+AD177</f>
        <v>3</v>
      </c>
      <c r="G177" s="237">
        <f t="shared" si="42"/>
        <v>0</v>
      </c>
      <c r="H177" s="183"/>
      <c r="I177" s="243"/>
      <c r="J177" s="242"/>
      <c r="K177" s="183"/>
      <c r="L177" s="87"/>
      <c r="M177" s="242"/>
      <c r="N177" s="183"/>
      <c r="O177" s="288"/>
      <c r="P177" s="241"/>
      <c r="Q177" s="183"/>
      <c r="R177" s="243"/>
      <c r="S177" s="102"/>
      <c r="T177" s="183"/>
      <c r="U177" s="18">
        <v>3</v>
      </c>
      <c r="V177" s="317">
        <f>U177*D177</f>
        <v>0</v>
      </c>
      <c r="W177" s="183"/>
      <c r="X177" s="243"/>
      <c r="Y177" s="242"/>
      <c r="Z177" s="183"/>
      <c r="AA177" s="243"/>
      <c r="AB177" s="242"/>
      <c r="AC177" s="183"/>
      <c r="AD177" s="314"/>
      <c r="AE177" s="102"/>
      <c r="AF177" s="127"/>
    </row>
    <row r="178" spans="1:70" ht="13">
      <c r="A178" s="230" t="s">
        <v>350</v>
      </c>
      <c r="B178" s="234" t="s">
        <v>333</v>
      </c>
      <c r="C178" s="235" t="s">
        <v>2</v>
      </c>
      <c r="D178" s="236"/>
      <c r="F178" s="17">
        <f t="shared" ref="F178:F179" si="45">I178+L178+O178+R178+U178+X178+AA178+AD178</f>
        <v>40</v>
      </c>
      <c r="G178" s="237">
        <f t="shared" ref="G178:G179" si="46">F178*D178</f>
        <v>0</v>
      </c>
      <c r="H178" s="183"/>
      <c r="I178" s="18">
        <v>40</v>
      </c>
      <c r="J178" s="317">
        <f t="shared" si="43"/>
        <v>0</v>
      </c>
      <c r="K178" s="183"/>
      <c r="L178" s="243"/>
      <c r="M178" s="242"/>
      <c r="N178" s="183"/>
      <c r="O178" s="288"/>
      <c r="P178" s="241"/>
      <c r="Q178" s="183"/>
      <c r="R178" s="243"/>
      <c r="S178" s="102"/>
      <c r="T178" s="183"/>
      <c r="U178" s="288"/>
      <c r="V178" s="241"/>
      <c r="W178" s="183"/>
      <c r="X178" s="243"/>
      <c r="Y178" s="242"/>
      <c r="Z178" s="183"/>
      <c r="AA178" s="243"/>
      <c r="AB178" s="242"/>
      <c r="AC178" s="183"/>
      <c r="AD178" s="314"/>
      <c r="AE178" s="102"/>
      <c r="AF178" s="127"/>
    </row>
    <row r="179" spans="1:70" ht="13">
      <c r="A179" s="230" t="s">
        <v>351</v>
      </c>
      <c r="B179" s="234" t="s">
        <v>336</v>
      </c>
      <c r="C179" s="235" t="s">
        <v>2</v>
      </c>
      <c r="D179" s="236"/>
      <c r="F179" s="17">
        <f t="shared" si="45"/>
        <v>80</v>
      </c>
      <c r="G179" s="237">
        <f t="shared" si="46"/>
        <v>0</v>
      </c>
      <c r="H179" s="183"/>
      <c r="I179" s="18">
        <v>40</v>
      </c>
      <c r="J179" s="317">
        <f t="shared" si="43"/>
        <v>0</v>
      </c>
      <c r="K179" s="183"/>
      <c r="L179" s="243"/>
      <c r="M179" s="242"/>
      <c r="N179" s="183"/>
      <c r="O179" s="288"/>
      <c r="P179" s="241"/>
      <c r="Q179" s="183"/>
      <c r="R179" s="243"/>
      <c r="S179" s="102"/>
      <c r="T179" s="183"/>
      <c r="U179" s="288"/>
      <c r="V179" s="241"/>
      <c r="W179" s="183"/>
      <c r="X179" s="243"/>
      <c r="Y179" s="242"/>
      <c r="Z179" s="183"/>
      <c r="AA179" s="18">
        <v>32</v>
      </c>
      <c r="AB179" s="317">
        <f>AA179*D179</f>
        <v>0</v>
      </c>
      <c r="AC179" s="183"/>
      <c r="AD179" s="318">
        <v>8</v>
      </c>
      <c r="AE179" s="77">
        <f t="shared" si="44"/>
        <v>0</v>
      </c>
      <c r="AF179" s="127"/>
    </row>
    <row r="180" spans="1:70" ht="13">
      <c r="A180" s="230" t="s">
        <v>352</v>
      </c>
      <c r="B180" s="234" t="s">
        <v>337</v>
      </c>
      <c r="C180" s="235" t="s">
        <v>2</v>
      </c>
      <c r="D180" s="236"/>
      <c r="F180" s="17">
        <f t="shared" si="41"/>
        <v>40</v>
      </c>
      <c r="G180" s="237">
        <f t="shared" si="42"/>
        <v>0</v>
      </c>
      <c r="H180" s="183"/>
      <c r="I180" s="243"/>
      <c r="J180" s="242"/>
      <c r="K180" s="183"/>
      <c r="L180" s="243"/>
      <c r="M180" s="242"/>
      <c r="N180" s="183"/>
      <c r="O180" s="288"/>
      <c r="P180" s="241"/>
      <c r="Q180" s="183"/>
      <c r="R180" s="243"/>
      <c r="S180" s="102"/>
      <c r="T180" s="183"/>
      <c r="U180" s="288"/>
      <c r="V180" s="241"/>
      <c r="W180" s="183"/>
      <c r="X180" s="243"/>
      <c r="Y180" s="242"/>
      <c r="Z180" s="183"/>
      <c r="AA180" s="18">
        <v>32</v>
      </c>
      <c r="AB180" s="317">
        <f>AA180*D180</f>
        <v>0</v>
      </c>
      <c r="AC180" s="183"/>
      <c r="AD180" s="318">
        <v>8</v>
      </c>
      <c r="AE180" s="77">
        <f t="shared" si="44"/>
        <v>0</v>
      </c>
      <c r="AF180" s="127"/>
    </row>
    <row r="181" spans="1:70" ht="13">
      <c r="A181" s="345" t="s">
        <v>382</v>
      </c>
      <c r="B181" s="345"/>
      <c r="C181" s="345"/>
      <c r="D181" s="345"/>
      <c r="F181" s="302" t="s">
        <v>8</v>
      </c>
      <c r="G181" s="303">
        <f>SUM(G182:G185)</f>
        <v>0</v>
      </c>
      <c r="H181" s="47"/>
      <c r="I181" s="177"/>
      <c r="J181" s="73"/>
      <c r="K181" s="47"/>
      <c r="L181" s="74"/>
      <c r="M181" s="101"/>
      <c r="N181" s="169"/>
      <c r="O181" s="153"/>
      <c r="P181" s="101"/>
      <c r="Q181" s="169"/>
      <c r="R181" s="153"/>
      <c r="S181" s="101"/>
      <c r="T181" s="169"/>
      <c r="U181" s="153"/>
      <c r="V181" s="101"/>
      <c r="W181" s="169"/>
      <c r="X181" s="153"/>
      <c r="Y181" s="193"/>
      <c r="Z181" s="169"/>
      <c r="AA181" s="153"/>
      <c r="AB181" s="101"/>
      <c r="AC181" s="169"/>
      <c r="AD181" s="153"/>
      <c r="AE181" s="73"/>
    </row>
    <row r="182" spans="1:70" s="6" customFormat="1" ht="13">
      <c r="A182" s="94" t="s">
        <v>353</v>
      </c>
      <c r="B182" s="43" t="s">
        <v>302</v>
      </c>
      <c r="C182" s="57" t="s">
        <v>5</v>
      </c>
      <c r="D182" s="13"/>
      <c r="E182" s="1"/>
      <c r="F182" s="51">
        <f>5000</f>
        <v>5000</v>
      </c>
      <c r="G182" s="42">
        <f>D182*F182</f>
        <v>0</v>
      </c>
      <c r="H182" s="209"/>
      <c r="I182" s="144"/>
      <c r="J182" s="102"/>
      <c r="K182" s="47"/>
      <c r="L182" s="85"/>
      <c r="M182" s="116"/>
      <c r="N182" s="47"/>
      <c r="O182" s="144"/>
      <c r="P182" s="116"/>
      <c r="Q182" s="47"/>
      <c r="R182" s="187"/>
      <c r="S182" s="116"/>
      <c r="T182" s="47"/>
      <c r="U182" s="187"/>
      <c r="V182" s="116"/>
      <c r="W182" s="47"/>
      <c r="X182" s="187"/>
      <c r="Y182" s="139"/>
      <c r="Z182" s="47"/>
      <c r="AA182" s="144"/>
      <c r="AB182" s="116"/>
      <c r="AC182" s="47"/>
      <c r="AD182" s="243"/>
      <c r="AE182" s="102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</row>
    <row r="183" spans="1:70" s="6" customFormat="1" ht="17" customHeight="1">
      <c r="A183" s="94" t="s">
        <v>354</v>
      </c>
      <c r="B183" s="43" t="s">
        <v>303</v>
      </c>
      <c r="C183" s="57" t="s">
        <v>5</v>
      </c>
      <c r="D183" s="13"/>
      <c r="E183" s="1"/>
      <c r="F183" s="284">
        <v>6000</v>
      </c>
      <c r="G183" s="42">
        <f>D183*F183</f>
        <v>0</v>
      </c>
      <c r="H183" s="209"/>
      <c r="I183" s="144"/>
      <c r="J183" s="102"/>
      <c r="K183" s="47"/>
      <c r="L183" s="85"/>
      <c r="M183" s="116"/>
      <c r="N183" s="47"/>
      <c r="O183" s="144"/>
      <c r="P183" s="116"/>
      <c r="Q183" s="47"/>
      <c r="R183" s="187"/>
      <c r="S183" s="116"/>
      <c r="T183" s="47"/>
      <c r="U183" s="187"/>
      <c r="V183" s="116"/>
      <c r="W183" s="47"/>
      <c r="X183" s="187"/>
      <c r="Y183" s="139"/>
      <c r="Z183" s="47"/>
      <c r="AA183" s="187"/>
      <c r="AB183" s="116"/>
      <c r="AC183" s="47"/>
      <c r="AD183" s="243"/>
      <c r="AE183" s="102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</row>
    <row r="184" spans="1:70" s="6" customFormat="1" ht="17" customHeight="1">
      <c r="A184" s="94" t="s">
        <v>355</v>
      </c>
      <c r="B184" s="43" t="s">
        <v>301</v>
      </c>
      <c r="C184" s="57" t="s">
        <v>5</v>
      </c>
      <c r="D184" s="13"/>
      <c r="E184" s="1"/>
      <c r="F184" s="284">
        <v>3680</v>
      </c>
      <c r="G184" s="42">
        <f>F184*D184</f>
        <v>0</v>
      </c>
      <c r="H184" s="209"/>
      <c r="I184" s="144"/>
      <c r="J184" s="102"/>
      <c r="K184" s="47"/>
      <c r="L184" s="85"/>
      <c r="M184" s="116"/>
      <c r="N184" s="47"/>
      <c r="O184" s="144"/>
      <c r="P184" s="116"/>
      <c r="Q184" s="47"/>
      <c r="R184" s="187"/>
      <c r="S184" s="116"/>
      <c r="T184" s="47"/>
      <c r="U184" s="187"/>
      <c r="V184" s="116"/>
      <c r="W184" s="47"/>
      <c r="X184" s="187"/>
      <c r="Y184" s="139"/>
      <c r="Z184" s="47"/>
      <c r="AA184" s="187"/>
      <c r="AB184" s="116"/>
      <c r="AC184" s="47"/>
      <c r="AD184" s="243"/>
      <c r="AE184" s="116"/>
      <c r="AF184" s="1"/>
      <c r="AG184" s="1"/>
      <c r="AH184" s="1"/>
      <c r="AI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</row>
    <row r="185" spans="1:70" s="6" customFormat="1" ht="13">
      <c r="A185" s="94" t="s">
        <v>386</v>
      </c>
      <c r="B185" s="43" t="s">
        <v>381</v>
      </c>
      <c r="C185" s="57" t="s">
        <v>5</v>
      </c>
      <c r="D185" s="13"/>
      <c r="E185" s="1"/>
      <c r="F185" s="284">
        <f>2000</f>
        <v>2000</v>
      </c>
      <c r="G185" s="42">
        <f>D185*F185</f>
        <v>0</v>
      </c>
      <c r="H185" s="209"/>
      <c r="I185" s="87"/>
      <c r="J185" s="102"/>
      <c r="K185" s="47"/>
      <c r="L185" s="87"/>
      <c r="M185" s="116"/>
      <c r="N185" s="47"/>
      <c r="O185" s="87"/>
      <c r="P185" s="116"/>
      <c r="Q185" s="47"/>
      <c r="R185" s="187"/>
      <c r="S185" s="116"/>
      <c r="T185" s="47"/>
      <c r="U185" s="187"/>
      <c r="V185" s="116"/>
      <c r="W185" s="47"/>
      <c r="X185" s="187"/>
      <c r="Y185" s="139"/>
      <c r="Z185" s="47"/>
      <c r="AA185" s="187"/>
      <c r="AB185" s="116"/>
      <c r="AC185" s="47"/>
      <c r="AD185" s="243"/>
      <c r="AE185" s="116"/>
      <c r="AF185" s="1"/>
      <c r="AG185" s="1"/>
      <c r="AH185" s="1"/>
      <c r="AI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</row>
    <row r="186" spans="1:70" s="218" customFormat="1" ht="13">
      <c r="A186" s="94" t="s">
        <v>356</v>
      </c>
      <c r="B186" s="43" t="s">
        <v>385</v>
      </c>
      <c r="C186" s="57" t="s">
        <v>5</v>
      </c>
      <c r="D186" s="13"/>
      <c r="F186" s="14">
        <f>400</f>
        <v>400</v>
      </c>
      <c r="G186" s="42">
        <f>D186*F186</f>
        <v>0</v>
      </c>
      <c r="H186" s="337"/>
      <c r="I186" s="87"/>
      <c r="J186" s="102"/>
      <c r="K186" s="229"/>
      <c r="L186" s="143"/>
      <c r="M186" s="102"/>
      <c r="N186" s="97"/>
      <c r="O186" s="87"/>
      <c r="P186" s="116"/>
      <c r="Q186" s="97"/>
      <c r="R186" s="143"/>
      <c r="S186" s="116"/>
      <c r="T186" s="97"/>
      <c r="U186" s="187"/>
      <c r="V186" s="116"/>
      <c r="W186" s="97"/>
      <c r="X186" s="187"/>
      <c r="Y186" s="116"/>
      <c r="Z186" s="97"/>
      <c r="AA186" s="187"/>
      <c r="AB186" s="139"/>
      <c r="AC186" s="97"/>
      <c r="AD186" s="187"/>
      <c r="AE186" s="116"/>
      <c r="AF186" s="163"/>
      <c r="AG186" s="78"/>
      <c r="AH186" s="183"/>
      <c r="AI186" s="1"/>
    </row>
    <row r="187" spans="1:70" s="6" customFormat="1" ht="13" thickBot="1">
      <c r="A187" s="3"/>
      <c r="B187" s="289"/>
      <c r="C187" s="2"/>
      <c r="D187" s="224"/>
      <c r="E187" s="1"/>
      <c r="F187" s="225"/>
      <c r="G187" s="223"/>
      <c r="H187" s="163"/>
      <c r="I187" s="225"/>
      <c r="J187" s="37"/>
      <c r="K187" s="163"/>
      <c r="L187" s="222"/>
      <c r="M187" s="183"/>
      <c r="N187" s="163"/>
      <c r="O187" s="222"/>
      <c r="P187" s="183"/>
      <c r="Q187" s="163"/>
      <c r="R187" s="78"/>
      <c r="S187" s="183"/>
      <c r="T187" s="163"/>
      <c r="U187" s="78"/>
      <c r="V187" s="183"/>
      <c r="W187" s="163"/>
      <c r="X187" s="78"/>
      <c r="Y187" s="183"/>
      <c r="Z187" s="163"/>
      <c r="AA187" s="78"/>
      <c r="AB187" s="37"/>
      <c r="AC187" s="163"/>
      <c r="AD187" s="78"/>
      <c r="AE187" s="183"/>
      <c r="AF187" s="1"/>
      <c r="AG187" s="1"/>
      <c r="AH187" s="1"/>
      <c r="AI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</row>
    <row r="188" spans="1:70" ht="17" thickBot="1">
      <c r="A188" s="349" t="s">
        <v>379</v>
      </c>
      <c r="B188" s="350"/>
      <c r="C188" s="350"/>
      <c r="D188" s="351"/>
      <c r="F188" s="53" t="s">
        <v>22</v>
      </c>
      <c r="G188" s="30">
        <f>SUM(G189+G195)</f>
        <v>0</v>
      </c>
      <c r="H188" s="164"/>
      <c r="I188" s="53" t="s">
        <v>8</v>
      </c>
      <c r="J188" s="30">
        <f>SUM(J190:J200)</f>
        <v>0</v>
      </c>
      <c r="K188" s="52"/>
      <c r="L188" s="53" t="s">
        <v>8</v>
      </c>
      <c r="M188" s="50">
        <f>SUM(M190:M200)</f>
        <v>0</v>
      </c>
      <c r="N188" s="164"/>
      <c r="O188" s="53" t="s">
        <v>8</v>
      </c>
      <c r="P188" s="30">
        <f>SUM(P190:P200)</f>
        <v>0</v>
      </c>
      <c r="Q188" s="164"/>
      <c r="R188" s="53" t="s">
        <v>8</v>
      </c>
      <c r="S188" s="30">
        <f>SUM(S190:S200)</f>
        <v>0</v>
      </c>
      <c r="T188" s="164"/>
      <c r="U188" s="53" t="s">
        <v>8</v>
      </c>
      <c r="V188" s="30">
        <f>SUM(V190:V200)</f>
        <v>0</v>
      </c>
      <c r="W188" s="164"/>
      <c r="X188" s="53" t="s">
        <v>8</v>
      </c>
      <c r="Y188" s="30">
        <f>SUM(Y190:Y200)</f>
        <v>0</v>
      </c>
      <c r="Z188" s="164"/>
      <c r="AA188" s="53" t="s">
        <v>8</v>
      </c>
      <c r="AB188" s="30">
        <f>SUM(AB190:AB200)</f>
        <v>0</v>
      </c>
      <c r="AC188" s="164"/>
      <c r="AD188" s="53" t="s">
        <v>8</v>
      </c>
      <c r="AE188" s="99">
        <f>SUM(AE190:AE200)</f>
        <v>0</v>
      </c>
    </row>
    <row r="189" spans="1:70" ht="13">
      <c r="A189" s="352" t="s">
        <v>378</v>
      </c>
      <c r="B189" s="353"/>
      <c r="C189" s="353"/>
      <c r="D189" s="354"/>
      <c r="F189" s="302" t="s">
        <v>8</v>
      </c>
      <c r="G189" s="332">
        <f>G190+G191+G192+G193+G194</f>
        <v>0</v>
      </c>
      <c r="H189" s="238"/>
      <c r="I189" s="331"/>
      <c r="J189" s="272"/>
      <c r="K189" s="238"/>
      <c r="L189" s="273"/>
      <c r="M189" s="274"/>
      <c r="N189" s="275"/>
      <c r="O189" s="273"/>
      <c r="P189" s="274"/>
      <c r="Q189" s="275"/>
      <c r="R189" s="273"/>
      <c r="S189" s="274"/>
      <c r="T189" s="275"/>
      <c r="U189" s="273"/>
      <c r="V189" s="274"/>
      <c r="W189" s="275"/>
      <c r="X189" s="273"/>
      <c r="Y189" s="276"/>
      <c r="Z189" s="275"/>
      <c r="AA189" s="273"/>
      <c r="AB189" s="274"/>
      <c r="AC189" s="275"/>
      <c r="AD189" s="273"/>
      <c r="AE189" s="338"/>
    </row>
    <row r="190" spans="1:70" s="6" customFormat="1" ht="13">
      <c r="A190" s="94" t="s">
        <v>178</v>
      </c>
      <c r="B190" s="79" t="s">
        <v>358</v>
      </c>
      <c r="C190" s="80" t="s">
        <v>2</v>
      </c>
      <c r="D190" s="81"/>
      <c r="E190" s="1"/>
      <c r="F190" s="14">
        <f>SUM(I190+L190+O190+R190+U190+AA190+AD190)</f>
        <v>158</v>
      </c>
      <c r="G190" s="25">
        <f t="shared" ref="G190:G198" si="47">D190*F190</f>
        <v>0</v>
      </c>
      <c r="H190" s="209"/>
      <c r="I190" s="108">
        <f>SUM(I78:I82)</f>
        <v>1</v>
      </c>
      <c r="J190" s="11">
        <f>I190*D190</f>
        <v>0</v>
      </c>
      <c r="K190" s="47"/>
      <c r="L190" s="316">
        <f>L82</f>
        <v>2</v>
      </c>
      <c r="M190" s="98">
        <f>L190*D190</f>
        <v>0</v>
      </c>
      <c r="N190" s="47"/>
      <c r="O190" s="144"/>
      <c r="P190" s="116"/>
      <c r="Q190" s="47"/>
      <c r="R190" s="144"/>
      <c r="S190" s="116"/>
      <c r="T190" s="47"/>
      <c r="U190" s="160">
        <f>U82</f>
        <v>1</v>
      </c>
      <c r="V190" s="98">
        <f>U190*D190</f>
        <v>0</v>
      </c>
      <c r="W190" s="47"/>
      <c r="X190" s="154"/>
      <c r="Y190" s="139"/>
      <c r="Z190" s="47"/>
      <c r="AA190" s="160">
        <f>SUM(AA78:AA82)</f>
        <v>140</v>
      </c>
      <c r="AB190" s="100">
        <f>AA190*D190</f>
        <v>0</v>
      </c>
      <c r="AC190" s="47"/>
      <c r="AD190" s="198">
        <f>AD82</f>
        <v>14</v>
      </c>
      <c r="AE190" s="140">
        <f>AD190*D190</f>
        <v>0</v>
      </c>
      <c r="AF190" s="1"/>
      <c r="AG190" s="1"/>
      <c r="AH190" s="1"/>
      <c r="AI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</row>
    <row r="191" spans="1:70" s="6" customFormat="1" ht="13">
      <c r="A191" s="94" t="s">
        <v>314</v>
      </c>
      <c r="B191" s="43" t="s">
        <v>361</v>
      </c>
      <c r="C191" s="15" t="s">
        <v>2</v>
      </c>
      <c r="D191" s="13"/>
      <c r="E191" s="1"/>
      <c r="F191" s="14">
        <f t="shared" ref="F191:F197" si="48">SUM(I191+L191+O191+R191+U191+AA191+AD191)</f>
        <v>91</v>
      </c>
      <c r="G191" s="42">
        <f t="shared" si="47"/>
        <v>0</v>
      </c>
      <c r="H191" s="209"/>
      <c r="I191" s="108">
        <f>I47+I52</f>
        <v>12</v>
      </c>
      <c r="J191" s="11">
        <f>I191*D191</f>
        <v>0</v>
      </c>
      <c r="K191" s="47"/>
      <c r="L191" s="22">
        <f>L35</f>
        <v>5</v>
      </c>
      <c r="M191" s="100">
        <f>L191*D191</f>
        <v>0</v>
      </c>
      <c r="N191" s="47"/>
      <c r="O191" s="144"/>
      <c r="P191" s="116"/>
      <c r="Q191" s="47"/>
      <c r="R191" s="144"/>
      <c r="S191" s="116"/>
      <c r="T191" s="47"/>
      <c r="U191" s="154"/>
      <c r="V191" s="116"/>
      <c r="W191" s="47"/>
      <c r="X191" s="154"/>
      <c r="Y191" s="139"/>
      <c r="Z191" s="47"/>
      <c r="AA191" s="160">
        <f>(AA49+AA50+AA46)-AA192</f>
        <v>47</v>
      </c>
      <c r="AB191" s="100">
        <f>AA191*D191</f>
        <v>0</v>
      </c>
      <c r="AC191" s="47"/>
      <c r="AD191" s="198">
        <f>AD35-AD192</f>
        <v>27</v>
      </c>
      <c r="AE191" s="98">
        <f>AD191*D191</f>
        <v>0</v>
      </c>
      <c r="AF191" s="1"/>
      <c r="AG191" s="1"/>
      <c r="AH191" s="1"/>
      <c r="AI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</row>
    <row r="192" spans="1:70" s="6" customFormat="1" ht="13">
      <c r="A192" s="94" t="s">
        <v>315</v>
      </c>
      <c r="B192" s="43" t="s">
        <v>360</v>
      </c>
      <c r="C192" s="15" t="s">
        <v>2</v>
      </c>
      <c r="D192" s="13"/>
      <c r="E192" s="1"/>
      <c r="F192" s="14">
        <f t="shared" si="48"/>
        <v>29</v>
      </c>
      <c r="G192" s="42">
        <f t="shared" si="47"/>
        <v>0</v>
      </c>
      <c r="H192" s="209"/>
      <c r="I192" s="108">
        <f>I44+I46</f>
        <v>8</v>
      </c>
      <c r="J192" s="11">
        <f>I192*D192</f>
        <v>0</v>
      </c>
      <c r="K192" s="47"/>
      <c r="L192" s="85"/>
      <c r="M192" s="116"/>
      <c r="N192" s="47"/>
      <c r="O192" s="144"/>
      <c r="P192" s="116"/>
      <c r="Q192" s="47"/>
      <c r="R192" s="144"/>
      <c r="S192" s="116"/>
      <c r="T192" s="47"/>
      <c r="U192" s="154"/>
      <c r="V192" s="116"/>
      <c r="W192" s="47"/>
      <c r="X192" s="154"/>
      <c r="Y192" s="139"/>
      <c r="Z192" s="47"/>
      <c r="AA192" s="160">
        <f>8+9</f>
        <v>17</v>
      </c>
      <c r="AB192" s="100">
        <f>AA192*D192</f>
        <v>0</v>
      </c>
      <c r="AC192" s="47"/>
      <c r="AD192" s="198">
        <v>4</v>
      </c>
      <c r="AE192" s="77">
        <f>AD192*D192</f>
        <v>0</v>
      </c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</row>
    <row r="193" spans="1:70" s="6" customFormat="1" ht="28" customHeight="1">
      <c r="A193" s="94" t="s">
        <v>316</v>
      </c>
      <c r="B193" s="43" t="s">
        <v>364</v>
      </c>
      <c r="C193" s="15" t="s">
        <v>2</v>
      </c>
      <c r="D193" s="13"/>
      <c r="E193" s="218"/>
      <c r="F193" s="14">
        <f t="shared" si="48"/>
        <v>25</v>
      </c>
      <c r="G193" s="42">
        <f t="shared" si="47"/>
        <v>0</v>
      </c>
      <c r="H193" s="229"/>
      <c r="I193" s="110">
        <f>I34+I36</f>
        <v>8</v>
      </c>
      <c r="J193" s="100">
        <f>I193*D193</f>
        <v>0</v>
      </c>
      <c r="K193" s="47"/>
      <c r="L193" s="110">
        <f>L36</f>
        <v>8</v>
      </c>
      <c r="M193" s="100">
        <f>L193*D193</f>
        <v>0</v>
      </c>
      <c r="N193" s="97"/>
      <c r="O193" s="110">
        <f>O36</f>
        <v>4</v>
      </c>
      <c r="P193" s="100">
        <f>O193*D193</f>
        <v>0</v>
      </c>
      <c r="Q193" s="97"/>
      <c r="R193" s="330">
        <f>R36</f>
        <v>3</v>
      </c>
      <c r="S193" s="100">
        <f>R193*D193</f>
        <v>0</v>
      </c>
      <c r="T193" s="97"/>
      <c r="U193" s="198">
        <f>U36</f>
        <v>2</v>
      </c>
      <c r="V193" s="100">
        <f>U193*D193</f>
        <v>0</v>
      </c>
      <c r="W193" s="97"/>
      <c r="X193" s="330">
        <f>X36</f>
        <v>1</v>
      </c>
      <c r="Y193" s="123">
        <f>D193*X193</f>
        <v>0</v>
      </c>
      <c r="Z193" s="97"/>
      <c r="AA193" s="154"/>
      <c r="AB193" s="116"/>
      <c r="AC193" s="97"/>
      <c r="AD193" s="256"/>
      <c r="AE193" s="102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</row>
    <row r="194" spans="1:70" s="6" customFormat="1" ht="13">
      <c r="A194" s="230" t="s">
        <v>317</v>
      </c>
      <c r="B194" s="43" t="s">
        <v>359</v>
      </c>
      <c r="C194" s="15" t="s">
        <v>6</v>
      </c>
      <c r="D194" s="16"/>
      <c r="E194" s="1"/>
      <c r="F194" s="14">
        <f>I194+L194+O194+R194+U194+X194+AA194++AD194</f>
        <v>583</v>
      </c>
      <c r="G194" s="42">
        <f t="shared" si="47"/>
        <v>0</v>
      </c>
      <c r="H194" s="209"/>
      <c r="I194" s="108">
        <f>SUM(I69:I76)</f>
        <v>150</v>
      </c>
      <c r="J194" s="100">
        <f>I194*D194</f>
        <v>0</v>
      </c>
      <c r="K194" s="47"/>
      <c r="L194" s="108">
        <f>SUM(L76)</f>
        <v>55</v>
      </c>
      <c r="M194" s="100">
        <f>L194*D194</f>
        <v>0</v>
      </c>
      <c r="N194" s="47"/>
      <c r="O194" s="108">
        <f>O76</f>
        <v>25</v>
      </c>
      <c r="P194" s="100">
        <f>O194*D194</f>
        <v>0</v>
      </c>
      <c r="Q194" s="47"/>
      <c r="R194" s="324">
        <f>R76</f>
        <v>25</v>
      </c>
      <c r="S194" s="100">
        <f>R194*D194</f>
        <v>0</v>
      </c>
      <c r="T194" s="47"/>
      <c r="U194" s="329">
        <f>U76</f>
        <v>90</v>
      </c>
      <c r="V194" s="100">
        <f>U194*D194</f>
        <v>0</v>
      </c>
      <c r="W194" s="47"/>
      <c r="X194" s="322"/>
      <c r="Y194" s="139"/>
      <c r="Z194" s="47"/>
      <c r="AA194" s="160">
        <f>SUM(AA69:AA76)</f>
        <v>168</v>
      </c>
      <c r="AB194" s="98">
        <f>AA194*D194</f>
        <v>0</v>
      </c>
      <c r="AC194" s="47"/>
      <c r="AD194" s="324">
        <f>AD76</f>
        <v>70</v>
      </c>
      <c r="AE194" s="77">
        <f>AD194*D194</f>
        <v>0</v>
      </c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</row>
    <row r="195" spans="1:70" ht="13">
      <c r="A195" s="355" t="s">
        <v>380</v>
      </c>
      <c r="B195" s="356"/>
      <c r="C195" s="356"/>
      <c r="D195" s="357"/>
      <c r="F195" s="302" t="s">
        <v>8</v>
      </c>
      <c r="G195" s="333">
        <f>G196+G197+G198+G199</f>
        <v>0</v>
      </c>
      <c r="H195" s="238"/>
      <c r="I195" s="331"/>
      <c r="J195" s="274"/>
      <c r="K195" s="311"/>
      <c r="L195" s="273"/>
      <c r="M195" s="274"/>
      <c r="N195" s="275"/>
      <c r="O195" s="273"/>
      <c r="P195" s="274"/>
      <c r="Q195" s="275"/>
      <c r="R195" s="273"/>
      <c r="S195" s="274"/>
      <c r="T195" s="275"/>
      <c r="U195" s="273"/>
      <c r="V195" s="274"/>
      <c r="W195" s="275"/>
      <c r="X195" s="273"/>
      <c r="Y195" s="276"/>
      <c r="Z195" s="275"/>
      <c r="AA195" s="273"/>
      <c r="AB195" s="274"/>
      <c r="AC195" s="275"/>
      <c r="AD195" s="273"/>
      <c r="AE195" s="334"/>
      <c r="AF195" s="127"/>
    </row>
    <row r="196" spans="1:70" s="6" customFormat="1" ht="13">
      <c r="A196" s="94" t="s">
        <v>318</v>
      </c>
      <c r="B196" s="68" t="s">
        <v>44</v>
      </c>
      <c r="C196" s="15" t="s">
        <v>6</v>
      </c>
      <c r="D196" s="16"/>
      <c r="E196" s="1"/>
      <c r="F196" s="14">
        <f>73</f>
        <v>73</v>
      </c>
      <c r="G196" s="245">
        <f t="shared" si="47"/>
        <v>0</v>
      </c>
      <c r="H196" s="209"/>
      <c r="I196" s="144"/>
      <c r="J196" s="116"/>
      <c r="K196" s="47"/>
      <c r="L196" s="144"/>
      <c r="M196" s="116"/>
      <c r="N196" s="47"/>
      <c r="O196" s="144"/>
      <c r="P196" s="116"/>
      <c r="Q196" s="47"/>
      <c r="R196" s="144"/>
      <c r="S196" s="116"/>
      <c r="T196" s="47"/>
      <c r="U196" s="144"/>
      <c r="V196" s="116"/>
      <c r="W196" s="47"/>
      <c r="X196" s="144"/>
      <c r="Y196" s="139"/>
      <c r="Z196" s="47"/>
      <c r="AA196" s="144"/>
      <c r="AB196" s="116"/>
      <c r="AC196" s="47"/>
      <c r="AD196" s="144"/>
      <c r="AE196" s="102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</row>
    <row r="197" spans="1:70" s="6" customFormat="1" ht="30" customHeight="1">
      <c r="A197" s="94" t="s">
        <v>362</v>
      </c>
      <c r="B197" s="134" t="s">
        <v>62</v>
      </c>
      <c r="C197" s="135" t="s">
        <v>2</v>
      </c>
      <c r="D197" s="47"/>
      <c r="E197" s="1"/>
      <c r="F197" s="14">
        <f t="shared" si="48"/>
        <v>1</v>
      </c>
      <c r="G197" s="77">
        <f t="shared" si="47"/>
        <v>0</v>
      </c>
      <c r="H197" s="209"/>
      <c r="I197" s="144"/>
      <c r="J197" s="119"/>
      <c r="K197" s="47"/>
      <c r="L197" s="108">
        <v>1</v>
      </c>
      <c r="M197" s="124">
        <f>L197*D197</f>
        <v>0</v>
      </c>
      <c r="N197" s="47"/>
      <c r="O197" s="144"/>
      <c r="P197" s="119"/>
      <c r="Q197" s="47"/>
      <c r="R197" s="144"/>
      <c r="S197" s="119"/>
      <c r="T197" s="47"/>
      <c r="U197" s="144"/>
      <c r="V197" s="119"/>
      <c r="W197" s="47"/>
      <c r="X197" s="144"/>
      <c r="Y197" s="102"/>
      <c r="Z197" s="47"/>
      <c r="AA197" s="144"/>
      <c r="AB197" s="119"/>
      <c r="AC197" s="47"/>
      <c r="AD197" s="144"/>
      <c r="AE197" s="118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</row>
    <row r="198" spans="1:70" s="6" customFormat="1" ht="13">
      <c r="A198" s="94" t="s">
        <v>370</v>
      </c>
      <c r="B198" s="68" t="s">
        <v>64</v>
      </c>
      <c r="C198" s="15" t="s">
        <v>2</v>
      </c>
      <c r="D198" s="16"/>
      <c r="E198" s="218"/>
      <c r="F198" s="14">
        <f>SUM(I198+L198+O198+R198+U198+AA198+AD198+X198)</f>
        <v>4</v>
      </c>
      <c r="G198" s="77">
        <f t="shared" si="47"/>
        <v>0</v>
      </c>
      <c r="H198" s="229"/>
      <c r="I198" s="143"/>
      <c r="J198" s="116"/>
      <c r="K198" s="47"/>
      <c r="L198" s="143"/>
      <c r="M198" s="116"/>
      <c r="N198" s="97"/>
      <c r="O198" s="143"/>
      <c r="P198" s="116"/>
      <c r="Q198" s="97"/>
      <c r="R198" s="143"/>
      <c r="S198" s="116"/>
      <c r="T198" s="97"/>
      <c r="U198" s="143"/>
      <c r="V198" s="116"/>
      <c r="W198" s="97"/>
      <c r="X198" s="147">
        <v>4</v>
      </c>
      <c r="Y198" s="123">
        <f>D198*X198</f>
        <v>0</v>
      </c>
      <c r="Z198" s="97"/>
      <c r="AA198" s="143"/>
      <c r="AB198" s="116"/>
      <c r="AC198" s="97"/>
      <c r="AD198" s="143"/>
      <c r="AE198" s="102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</row>
    <row r="199" spans="1:70" s="226" customFormat="1" ht="13">
      <c r="A199" s="94" t="s">
        <v>373</v>
      </c>
      <c r="B199" s="39" t="s">
        <v>371</v>
      </c>
      <c r="C199" s="15" t="s">
        <v>6</v>
      </c>
      <c r="D199" s="328"/>
      <c r="E199" s="111"/>
      <c r="F199" s="14">
        <f>SUM(+I199+L199+O199+R199+U199+X199+AA199+AD199)</f>
        <v>116</v>
      </c>
      <c r="G199" s="42">
        <f>D199*F199</f>
        <v>0</v>
      </c>
      <c r="H199" s="172"/>
      <c r="I199" s="149">
        <f>I38*0.5</f>
        <v>80</v>
      </c>
      <c r="J199" s="140">
        <f>D199*I199</f>
        <v>0</v>
      </c>
      <c r="K199" s="172"/>
      <c r="L199" s="145"/>
      <c r="M199" s="139"/>
      <c r="N199" s="172"/>
      <c r="O199" s="148"/>
      <c r="P199" s="139"/>
      <c r="Q199" s="172"/>
      <c r="R199" s="148"/>
      <c r="S199" s="139"/>
      <c r="T199" s="172"/>
      <c r="U199" s="149">
        <v>20</v>
      </c>
      <c r="V199" s="123">
        <f>D199*U199</f>
        <v>0</v>
      </c>
      <c r="W199" s="172"/>
      <c r="X199" s="148"/>
      <c r="Y199" s="139"/>
      <c r="Z199" s="172"/>
      <c r="AA199" s="148"/>
      <c r="AB199" s="116"/>
      <c r="AC199" s="172"/>
      <c r="AD199" s="149">
        <f>AD38*0.5</f>
        <v>16</v>
      </c>
      <c r="AE199" s="77">
        <f>AD199*D199</f>
        <v>0</v>
      </c>
      <c r="AF199" s="6"/>
      <c r="AG199" s="6"/>
      <c r="AH199" s="6"/>
      <c r="AI199" s="6"/>
      <c r="AJ199" s="6"/>
      <c r="AK199" s="6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</row>
    <row r="200" spans="1:70" ht="13" thickBot="1">
      <c r="A200" s="219"/>
      <c r="B200" s="228"/>
      <c r="C200" s="221"/>
      <c r="D200" s="163"/>
      <c r="F200" s="222"/>
      <c r="G200" s="183"/>
      <c r="H200" s="163"/>
      <c r="I200" s="222"/>
      <c r="J200" s="183"/>
      <c r="K200" s="163"/>
      <c r="L200" s="222"/>
      <c r="M200" s="183"/>
      <c r="N200" s="163"/>
      <c r="O200" s="222"/>
      <c r="P200" s="183"/>
      <c r="Q200" s="163"/>
      <c r="R200" s="222"/>
      <c r="S200" s="183"/>
      <c r="T200" s="163"/>
      <c r="U200" s="222"/>
      <c r="V200" s="183"/>
      <c r="W200" s="163"/>
      <c r="X200" s="222"/>
      <c r="Y200" s="183"/>
      <c r="Z200" s="163"/>
      <c r="AA200" s="222"/>
      <c r="AB200" s="183"/>
      <c r="AC200" s="163"/>
      <c r="AD200" s="222"/>
      <c r="AE200" s="183"/>
    </row>
    <row r="201" spans="1:70" ht="17" thickBot="1">
      <c r="A201" s="349" t="s">
        <v>311</v>
      </c>
      <c r="B201" s="350"/>
      <c r="C201" s="350"/>
      <c r="D201" s="351"/>
      <c r="F201" s="53" t="s">
        <v>22</v>
      </c>
      <c r="G201" s="30">
        <f>SUM(G202:G209)</f>
        <v>0</v>
      </c>
      <c r="H201" s="164"/>
      <c r="I201" s="53" t="s">
        <v>8</v>
      </c>
      <c r="J201" s="30">
        <f>SUM(J202:J202)</f>
        <v>0</v>
      </c>
      <c r="K201" s="52"/>
      <c r="L201" s="53" t="s">
        <v>8</v>
      </c>
      <c r="M201" s="50">
        <f>SUM(M202:M202)</f>
        <v>0</v>
      </c>
      <c r="N201" s="164"/>
      <c r="O201" s="53" t="s">
        <v>8</v>
      </c>
      <c r="P201" s="30">
        <f>SUM(P202:P202)</f>
        <v>0</v>
      </c>
      <c r="Q201" s="164"/>
      <c r="R201" s="53" t="s">
        <v>8</v>
      </c>
      <c r="S201" s="30">
        <f>SUM(S202:S202)</f>
        <v>0</v>
      </c>
      <c r="T201" s="164"/>
      <c r="U201" s="53" t="s">
        <v>8</v>
      </c>
      <c r="V201" s="30">
        <f>SUM(V202:V202)</f>
        <v>0</v>
      </c>
      <c r="W201" s="164"/>
      <c r="X201" s="53" t="s">
        <v>8</v>
      </c>
      <c r="Y201" s="30">
        <f>SUM(Y202:Y202)</f>
        <v>0</v>
      </c>
      <c r="Z201" s="164"/>
      <c r="AA201" s="53" t="s">
        <v>8</v>
      </c>
      <c r="AB201" s="30">
        <f>SUM(AB202:AB202)</f>
        <v>0</v>
      </c>
      <c r="AC201" s="164"/>
      <c r="AD201" s="53" t="s">
        <v>8</v>
      </c>
      <c r="AE201" s="30">
        <f>SUM(AE202:AE202)</f>
        <v>0</v>
      </c>
    </row>
    <row r="202" spans="1:70" ht="13">
      <c r="A202" s="94" t="s">
        <v>319</v>
      </c>
      <c r="B202" s="96" t="s">
        <v>306</v>
      </c>
      <c r="C202" s="80" t="s">
        <v>5</v>
      </c>
      <c r="D202" s="97"/>
      <c r="F202" s="14">
        <f>F182+F185+F186</f>
        <v>7400</v>
      </c>
      <c r="G202" s="211">
        <f>D202*F202</f>
        <v>0</v>
      </c>
      <c r="H202" s="209"/>
      <c r="I202" s="143"/>
      <c r="J202" s="102"/>
      <c r="K202" s="47"/>
      <c r="L202" s="117"/>
      <c r="M202" s="116"/>
      <c r="N202" s="47"/>
      <c r="O202" s="159"/>
      <c r="P202" s="116"/>
      <c r="Q202" s="47"/>
      <c r="R202" s="159"/>
      <c r="S202" s="116"/>
      <c r="T202" s="47"/>
      <c r="U202" s="159"/>
      <c r="V202" s="116"/>
      <c r="W202" s="47"/>
      <c r="X202" s="159"/>
      <c r="Y202" s="116"/>
      <c r="Z202" s="47"/>
      <c r="AA202" s="159"/>
      <c r="AB202" s="116"/>
      <c r="AC202" s="47"/>
      <c r="AD202" s="159"/>
      <c r="AE202" s="323"/>
    </row>
    <row r="203" spans="1:70" ht="13">
      <c r="A203" s="94" t="s">
        <v>320</v>
      </c>
      <c r="B203" s="96" t="s">
        <v>307</v>
      </c>
      <c r="C203" s="80" t="s">
        <v>5</v>
      </c>
      <c r="D203" s="97"/>
      <c r="F203" s="14">
        <f>F183+F184</f>
        <v>9680</v>
      </c>
      <c r="G203" s="77">
        <f>D203*F203</f>
        <v>0</v>
      </c>
      <c r="H203" s="209"/>
      <c r="I203" s="143"/>
      <c r="J203" s="102"/>
      <c r="K203" s="47"/>
      <c r="L203" s="117"/>
      <c r="M203" s="116"/>
      <c r="N203" s="47"/>
      <c r="O203" s="159"/>
      <c r="P203" s="116"/>
      <c r="Q203" s="47"/>
      <c r="R203" s="159"/>
      <c r="S203" s="116"/>
      <c r="T203" s="47"/>
      <c r="U203" s="159"/>
      <c r="V203" s="116"/>
      <c r="W203" s="47"/>
      <c r="X203" s="159"/>
      <c r="Y203" s="116"/>
      <c r="Z203" s="47"/>
      <c r="AA203" s="159"/>
      <c r="AB203" s="116"/>
      <c r="AC203" s="47"/>
      <c r="AD203" s="159"/>
      <c r="AE203" s="102"/>
    </row>
    <row r="204" spans="1:70" ht="13">
      <c r="A204" s="94" t="s">
        <v>321</v>
      </c>
      <c r="B204" s="307" t="s">
        <v>308</v>
      </c>
      <c r="C204" s="278" t="s">
        <v>2</v>
      </c>
      <c r="D204" s="279"/>
      <c r="F204" s="14">
        <f>F34+F35</f>
        <v>108</v>
      </c>
      <c r="G204" s="77">
        <f t="shared" ref="G204:G209" si="49">D204*F204</f>
        <v>0</v>
      </c>
      <c r="H204" s="238"/>
      <c r="I204" s="308"/>
      <c r="J204" s="309"/>
      <c r="K204" s="238"/>
      <c r="L204" s="310"/>
      <c r="M204" s="239"/>
      <c r="N204" s="311"/>
      <c r="O204" s="312"/>
      <c r="P204" s="239"/>
      <c r="Q204" s="311"/>
      <c r="R204" s="312"/>
      <c r="S204" s="239"/>
      <c r="T204" s="311"/>
      <c r="U204" s="312"/>
      <c r="V204" s="239"/>
      <c r="W204" s="311"/>
      <c r="X204" s="312"/>
      <c r="Y204" s="239"/>
      <c r="Z204" s="311"/>
      <c r="AA204" s="312"/>
      <c r="AB204" s="239"/>
      <c r="AC204" s="311"/>
      <c r="AD204" s="312"/>
      <c r="AE204" s="241"/>
    </row>
    <row r="205" spans="1:70" ht="13">
      <c r="A205" s="94" t="s">
        <v>322</v>
      </c>
      <c r="B205" s="307" t="s">
        <v>383</v>
      </c>
      <c r="C205" s="278" t="s">
        <v>2</v>
      </c>
      <c r="D205" s="279"/>
      <c r="F205" s="14">
        <f>F36</f>
        <v>25</v>
      </c>
      <c r="G205" s="77">
        <f t="shared" si="49"/>
        <v>0</v>
      </c>
      <c r="H205" s="238"/>
      <c r="I205" s="308"/>
      <c r="J205" s="309"/>
      <c r="K205" s="238"/>
      <c r="L205" s="310"/>
      <c r="M205" s="239"/>
      <c r="N205" s="311"/>
      <c r="O205" s="312"/>
      <c r="P205" s="239"/>
      <c r="Q205" s="311"/>
      <c r="R205" s="312"/>
      <c r="S205" s="239"/>
      <c r="T205" s="311"/>
      <c r="U205" s="312"/>
      <c r="V205" s="239"/>
      <c r="W205" s="311"/>
      <c r="X205" s="312"/>
      <c r="Y205" s="239"/>
      <c r="Z205" s="311"/>
      <c r="AA205" s="312"/>
      <c r="AB205" s="239"/>
      <c r="AC205" s="311"/>
      <c r="AD205" s="312"/>
      <c r="AE205" s="241"/>
    </row>
    <row r="206" spans="1:70" ht="13">
      <c r="A206" s="94" t="s">
        <v>323</v>
      </c>
      <c r="B206" s="307" t="s">
        <v>309</v>
      </c>
      <c r="C206" s="278" t="s">
        <v>6</v>
      </c>
      <c r="D206" s="279"/>
      <c r="F206" s="14">
        <f>F194</f>
        <v>583</v>
      </c>
      <c r="G206" s="77">
        <f t="shared" si="49"/>
        <v>0</v>
      </c>
      <c r="H206" s="238"/>
      <c r="I206" s="308"/>
      <c r="J206" s="309"/>
      <c r="K206" s="238"/>
      <c r="L206" s="310"/>
      <c r="M206" s="239"/>
      <c r="N206" s="311"/>
      <c r="O206" s="312"/>
      <c r="P206" s="239"/>
      <c r="Q206" s="311"/>
      <c r="R206" s="312"/>
      <c r="S206" s="239"/>
      <c r="T206" s="311"/>
      <c r="U206" s="312"/>
      <c r="V206" s="239"/>
      <c r="W206" s="311"/>
      <c r="X206" s="312"/>
      <c r="Y206" s="239"/>
      <c r="Z206" s="311"/>
      <c r="AA206" s="312"/>
      <c r="AB206" s="239"/>
      <c r="AC206" s="311"/>
      <c r="AD206" s="312"/>
      <c r="AE206" s="241"/>
    </row>
    <row r="207" spans="1:70" ht="13">
      <c r="A207" s="94" t="s">
        <v>324</v>
      </c>
      <c r="B207" s="307" t="s">
        <v>310</v>
      </c>
      <c r="C207" s="278" t="s">
        <v>6</v>
      </c>
      <c r="D207" s="279"/>
      <c r="F207" s="14">
        <f>F82+F81+F80+F79+F78</f>
        <v>158</v>
      </c>
      <c r="G207" s="77">
        <f t="shared" si="49"/>
        <v>0</v>
      </c>
      <c r="H207" s="238"/>
      <c r="I207" s="308"/>
      <c r="J207" s="309"/>
      <c r="K207" s="238"/>
      <c r="L207" s="310"/>
      <c r="M207" s="239"/>
      <c r="N207" s="311"/>
      <c r="O207" s="312"/>
      <c r="P207" s="239"/>
      <c r="Q207" s="311"/>
      <c r="R207" s="312"/>
      <c r="S207" s="239"/>
      <c r="T207" s="311"/>
      <c r="U207" s="312"/>
      <c r="V207" s="239"/>
      <c r="W207" s="311"/>
      <c r="X207" s="312"/>
      <c r="Y207" s="239"/>
      <c r="Z207" s="311"/>
      <c r="AA207" s="312"/>
      <c r="AB207" s="239"/>
      <c r="AC207" s="311"/>
      <c r="AD207" s="312"/>
      <c r="AE207" s="241"/>
    </row>
    <row r="208" spans="1:70" ht="13">
      <c r="A208" s="94" t="s">
        <v>325</v>
      </c>
      <c r="B208" s="307" t="s">
        <v>312</v>
      </c>
      <c r="C208" s="278" t="s">
        <v>5</v>
      </c>
      <c r="D208" s="279"/>
      <c r="F208" s="14">
        <f>(F204+F205+F206)*5</f>
        <v>3580</v>
      </c>
      <c r="G208" s="77">
        <f t="shared" si="49"/>
        <v>0</v>
      </c>
      <c r="H208" s="238"/>
      <c r="I208" s="308"/>
      <c r="J208" s="309"/>
      <c r="K208" s="238"/>
      <c r="L208" s="310"/>
      <c r="M208" s="239"/>
      <c r="N208" s="311"/>
      <c r="O208" s="312"/>
      <c r="P208" s="239"/>
      <c r="Q208" s="311"/>
      <c r="R208" s="312"/>
      <c r="S208" s="239"/>
      <c r="T208" s="311"/>
      <c r="U208" s="312"/>
      <c r="V208" s="239"/>
      <c r="W208" s="311"/>
      <c r="X208" s="312"/>
      <c r="Y208" s="239"/>
      <c r="Z208" s="311"/>
      <c r="AA208" s="312"/>
      <c r="AB208" s="239"/>
      <c r="AC208" s="311"/>
      <c r="AD208" s="312"/>
      <c r="AE208" s="241"/>
    </row>
    <row r="209" spans="1:70" ht="13">
      <c r="A209" s="94" t="s">
        <v>326</v>
      </c>
      <c r="B209" s="307" t="s">
        <v>313</v>
      </c>
      <c r="C209" s="278" t="s">
        <v>5</v>
      </c>
      <c r="D209" s="279"/>
      <c r="F209" s="14">
        <f>F32</f>
        <v>699</v>
      </c>
      <c r="G209" s="77">
        <f t="shared" si="49"/>
        <v>0</v>
      </c>
      <c r="H209" s="238"/>
      <c r="I209" s="308"/>
      <c r="J209" s="309"/>
      <c r="K209" s="238"/>
      <c r="L209" s="310"/>
      <c r="M209" s="239"/>
      <c r="N209" s="311"/>
      <c r="O209" s="312"/>
      <c r="P209" s="239"/>
      <c r="Q209" s="311"/>
      <c r="R209" s="312"/>
      <c r="S209" s="239"/>
      <c r="T209" s="311"/>
      <c r="U209" s="312"/>
      <c r="V209" s="239"/>
      <c r="W209" s="311"/>
      <c r="X209" s="312"/>
      <c r="Y209" s="239"/>
      <c r="Z209" s="311"/>
      <c r="AA209" s="312"/>
      <c r="AB209" s="239"/>
      <c r="AC209" s="311"/>
      <c r="AD209" s="312"/>
      <c r="AE209" s="241"/>
    </row>
    <row r="210" spans="1:70">
      <c r="A210" s="1"/>
      <c r="C210" s="1"/>
      <c r="D210" s="1"/>
      <c r="G210" s="180"/>
      <c r="H210" s="180"/>
      <c r="I210" s="1"/>
      <c r="J210" s="1"/>
      <c r="K210" s="1"/>
      <c r="L210" s="1"/>
      <c r="M210" s="1"/>
      <c r="N210" s="111"/>
      <c r="O210" s="1"/>
      <c r="P210" s="1"/>
      <c r="Q210" s="111"/>
      <c r="R210" s="1"/>
      <c r="S210" s="1"/>
    </row>
    <row r="211" spans="1:70">
      <c r="A211" s="336"/>
      <c r="B211" s="344" t="s">
        <v>9</v>
      </c>
      <c r="C211" s="344"/>
      <c r="D211" s="344"/>
      <c r="F211" s="31"/>
      <c r="G211" s="32"/>
      <c r="H211" s="216"/>
      <c r="I211" s="161"/>
      <c r="J211" s="32"/>
      <c r="K211" s="48"/>
      <c r="L211" s="31"/>
      <c r="M211" s="125"/>
      <c r="N211" s="48"/>
      <c r="O211" s="161"/>
      <c r="P211" s="125"/>
      <c r="Q211" s="48"/>
      <c r="R211" s="161"/>
      <c r="S211" s="125"/>
      <c r="T211" s="48"/>
      <c r="U211" s="161"/>
      <c r="V211" s="125"/>
      <c r="W211" s="48"/>
      <c r="X211" s="161"/>
      <c r="Y211" s="125"/>
      <c r="Z211" s="48"/>
      <c r="AA211" s="161"/>
      <c r="AB211" s="125"/>
      <c r="AC211" s="48"/>
      <c r="AD211" s="161"/>
      <c r="AE211" s="32"/>
    </row>
    <row r="212" spans="1:70" ht="13">
      <c r="A212" s="335"/>
      <c r="B212" s="343" t="s">
        <v>63</v>
      </c>
      <c r="C212" s="343"/>
      <c r="D212" s="343"/>
      <c r="F212" s="19"/>
      <c r="G212" s="54">
        <f>SUM(G8+G16+G42+G201+G188)</f>
        <v>0</v>
      </c>
      <c r="H212" s="217"/>
      <c r="I212" s="162"/>
      <c r="J212" s="54">
        <f>SUM(J201+J42+J16+J8+J188)</f>
        <v>0</v>
      </c>
      <c r="K212" s="49"/>
      <c r="L212" s="19"/>
      <c r="M212" s="126">
        <f>SUM(M201+M42+M16+M8+M188)</f>
        <v>0</v>
      </c>
      <c r="N212" s="49"/>
      <c r="O212" s="162"/>
      <c r="P212" s="126">
        <f>SUM(P201+P42+P16+P8+P188)</f>
        <v>0</v>
      </c>
      <c r="Q212" s="49"/>
      <c r="R212" s="162"/>
      <c r="S212" s="126">
        <f>SUM(S201+S42+S16+S8+S188)</f>
        <v>0</v>
      </c>
      <c r="T212" s="49"/>
      <c r="U212" s="162"/>
      <c r="V212" s="126">
        <f>SUM(V201+V42+V16+V8+V188)</f>
        <v>0</v>
      </c>
      <c r="W212" s="49"/>
      <c r="X212" s="162"/>
      <c r="Y212" s="126">
        <f>SUM(Y201+Y42+Y16+Y8+Y188)</f>
        <v>0</v>
      </c>
      <c r="Z212" s="49"/>
      <c r="AA212" s="162"/>
      <c r="AB212" s="126">
        <f>SUM(AB201+AB42+AB16+AB8+AB188)</f>
        <v>0</v>
      </c>
      <c r="AC212" s="49"/>
      <c r="AD212" s="162"/>
      <c r="AE212" s="126">
        <f>SUM(AE201+AE42+AE16+AE8+AE188)</f>
        <v>0</v>
      </c>
      <c r="AF212" s="127"/>
    </row>
    <row r="213" spans="1:70" ht="13">
      <c r="A213" s="335"/>
      <c r="B213" s="342" t="s">
        <v>7</v>
      </c>
      <c r="C213" s="342"/>
      <c r="D213" s="342"/>
      <c r="F213" s="248"/>
      <c r="G213" s="249">
        <f>(G212*0.2)</f>
        <v>0</v>
      </c>
      <c r="H213" s="217"/>
      <c r="I213" s="250"/>
      <c r="J213" s="251">
        <f>J212*0.2</f>
        <v>0</v>
      </c>
      <c r="K213" s="49"/>
      <c r="L213" s="248"/>
      <c r="M213" s="252">
        <f>M212*0.2</f>
        <v>0</v>
      </c>
      <c r="N213" s="49"/>
      <c r="O213" s="250"/>
      <c r="P213" s="252">
        <f>P212*0.2</f>
        <v>0</v>
      </c>
      <c r="Q213" s="49"/>
      <c r="R213" s="250"/>
      <c r="S213" s="252">
        <f>S212*0.2</f>
        <v>0</v>
      </c>
      <c r="T213" s="49"/>
      <c r="U213" s="250"/>
      <c r="V213" s="252">
        <f>V212*0.2</f>
        <v>0</v>
      </c>
      <c r="W213" s="49"/>
      <c r="X213" s="250"/>
      <c r="Y213" s="252">
        <f>Y212*0.2</f>
        <v>0</v>
      </c>
      <c r="Z213" s="49"/>
      <c r="AA213" s="250"/>
      <c r="AB213" s="252">
        <f>AB212*0.2</f>
        <v>0</v>
      </c>
      <c r="AC213" s="49"/>
      <c r="AD213" s="250"/>
      <c r="AE213" s="252">
        <f>AE212*0.2</f>
        <v>0</v>
      </c>
      <c r="AF213" s="127"/>
    </row>
    <row r="214" spans="1:70" ht="16">
      <c r="A214" s="335"/>
      <c r="B214" s="343" t="s">
        <v>61</v>
      </c>
      <c r="C214" s="343"/>
      <c r="D214" s="343"/>
      <c r="E214" s="68"/>
      <c r="F214" s="19"/>
      <c r="G214" s="253">
        <f>SUM(G212:G213)</f>
        <v>0</v>
      </c>
      <c r="H214" s="254"/>
      <c r="I214" s="19"/>
      <c r="J214" s="253">
        <f>SUM(J212:J213)</f>
        <v>0</v>
      </c>
      <c r="K214" s="254"/>
      <c r="L214" s="19"/>
      <c r="M214" s="253">
        <f>SUM(M212:M213)</f>
        <v>0</v>
      </c>
      <c r="N214" s="254"/>
      <c r="O214" s="19"/>
      <c r="P214" s="253">
        <f>SUM(P212:P213)</f>
        <v>0</v>
      </c>
      <c r="Q214" s="254"/>
      <c r="R214" s="19"/>
      <c r="S214" s="253">
        <f>SUM(S212:S213)</f>
        <v>0</v>
      </c>
      <c r="T214" s="254"/>
      <c r="U214" s="19"/>
      <c r="V214" s="253">
        <f>SUM(V212:V213)</f>
        <v>0</v>
      </c>
      <c r="W214" s="254"/>
      <c r="X214" s="19"/>
      <c r="Y214" s="253">
        <f>SUM(Y212:Y213)</f>
        <v>0</v>
      </c>
      <c r="Z214" s="254"/>
      <c r="AA214" s="19"/>
      <c r="AB214" s="253">
        <f>SUM(AB212:AB213)</f>
        <v>0</v>
      </c>
      <c r="AC214" s="254"/>
      <c r="AD214" s="19"/>
      <c r="AE214" s="253">
        <f>SUM(AE212:AE213)</f>
        <v>0</v>
      </c>
      <c r="AF214" s="127"/>
    </row>
    <row r="215" spans="1:70">
      <c r="A215" s="1"/>
      <c r="C215" s="1"/>
      <c r="D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W215" s="1"/>
      <c r="Z215" s="1"/>
      <c r="AC215" s="1"/>
    </row>
    <row r="216" spans="1:70">
      <c r="A216" s="1"/>
      <c r="C216" s="1"/>
      <c r="D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W216" s="1"/>
      <c r="Z216" s="1"/>
      <c r="AC216" s="1"/>
    </row>
    <row r="217" spans="1:70">
      <c r="A217" s="1"/>
      <c r="C217" s="1"/>
      <c r="D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W217" s="1"/>
      <c r="Z217" s="1"/>
      <c r="AC217" s="1"/>
    </row>
    <row r="218" spans="1:70">
      <c r="A218" s="1"/>
      <c r="C218" s="1"/>
      <c r="D218" s="1"/>
      <c r="H218" s="1"/>
      <c r="I218" s="1"/>
      <c r="J218" s="41"/>
      <c r="K218" s="1"/>
      <c r="L218" s="1"/>
      <c r="M218" s="41"/>
      <c r="N218" s="1"/>
      <c r="O218" s="1"/>
      <c r="P218" s="41"/>
      <c r="Q218" s="1"/>
      <c r="R218" s="1"/>
      <c r="S218" s="41"/>
      <c r="T218" s="1"/>
      <c r="W218" s="1"/>
      <c r="Z218" s="1"/>
      <c r="AC218" s="1"/>
    </row>
    <row r="219" spans="1:70">
      <c r="A219" s="1"/>
      <c r="C219" s="1"/>
      <c r="D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W219" s="1"/>
      <c r="Z219" s="1"/>
      <c r="AC219" s="1"/>
    </row>
    <row r="220" spans="1:70">
      <c r="A220" s="1"/>
      <c r="C220" s="1"/>
      <c r="D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W220" s="1"/>
      <c r="Z220" s="1"/>
      <c r="AC220" s="1"/>
    </row>
    <row r="221" spans="1:70">
      <c r="A221" s="1"/>
      <c r="C221" s="1"/>
      <c r="D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W221" s="1"/>
      <c r="Z221" s="1"/>
      <c r="AC221" s="1"/>
    </row>
    <row r="222" spans="1:70">
      <c r="A222" s="1"/>
      <c r="C222" s="1"/>
      <c r="D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W222" s="1"/>
      <c r="Z222" s="1"/>
      <c r="AC222" s="1"/>
    </row>
    <row r="223" spans="1:70" s="233" customFormat="1" ht="13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</row>
    <row r="224" spans="1:70" s="75" customForma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</row>
    <row r="225" spans="1:70" s="75" customForma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</row>
    <row r="226" spans="1:70" s="75" customForma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</row>
    <row r="227" spans="1:70" s="75" customForma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</row>
    <row r="228" spans="1:70" s="75" customForma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</row>
    <row r="229" spans="1:70" s="75" customForma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</row>
    <row r="230" spans="1:70" s="75" customFormat="1" ht="17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</row>
    <row r="231" spans="1:70" s="75" customForma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</row>
    <row r="232" spans="1:70" s="75" customFormat="1">
      <c r="A232" s="2"/>
      <c r="B232" s="1"/>
      <c r="C232" s="2"/>
      <c r="D232" s="35"/>
      <c r="E232" s="1"/>
      <c r="F232" s="1"/>
      <c r="G232" s="1"/>
      <c r="H232" s="171"/>
      <c r="I232" s="246"/>
      <c r="J232" s="183"/>
      <c r="K232" s="171"/>
      <c r="L232" s="246"/>
      <c r="M232" s="183"/>
      <c r="N232" s="171"/>
      <c r="O232" s="246"/>
      <c r="P232" s="183"/>
      <c r="Q232" s="171"/>
      <c r="R232" s="246"/>
      <c r="S232" s="183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</row>
    <row r="233" spans="1:70">
      <c r="C233" s="2"/>
      <c r="D233" s="35"/>
      <c r="H233" s="171"/>
      <c r="I233" s="246"/>
      <c r="J233" s="183"/>
      <c r="K233" s="171"/>
      <c r="L233" s="246"/>
      <c r="M233" s="183"/>
      <c r="N233" s="171"/>
      <c r="O233" s="246"/>
      <c r="P233" s="183"/>
      <c r="Q233" s="171"/>
      <c r="R233" s="246"/>
      <c r="S233" s="183"/>
      <c r="T233" s="1"/>
      <c r="W233" s="1"/>
      <c r="Z233" s="1"/>
      <c r="AC233" s="1"/>
    </row>
    <row r="234" spans="1:70" ht="16.25" customHeight="1">
      <c r="C234" s="2"/>
      <c r="D234" s="35"/>
      <c r="H234" s="171"/>
      <c r="I234" s="246"/>
      <c r="J234" s="183"/>
      <c r="K234" s="171"/>
      <c r="L234" s="246"/>
      <c r="M234" s="183"/>
      <c r="N234" s="171"/>
      <c r="O234" s="246"/>
      <c r="P234" s="183"/>
      <c r="Q234" s="171"/>
      <c r="R234" s="246"/>
      <c r="S234" s="183"/>
      <c r="T234" s="1"/>
      <c r="W234" s="1"/>
      <c r="Z234" s="1"/>
      <c r="AC234" s="1"/>
    </row>
    <row r="235" spans="1:70">
      <c r="C235" s="2"/>
      <c r="D235" s="35"/>
      <c r="H235" s="171"/>
      <c r="I235" s="246"/>
      <c r="J235" s="183"/>
      <c r="K235" s="171"/>
      <c r="L235" s="246"/>
      <c r="M235" s="183"/>
      <c r="N235" s="171"/>
      <c r="O235" s="246"/>
      <c r="P235" s="183"/>
      <c r="Q235" s="171"/>
      <c r="R235" s="246"/>
      <c r="S235" s="183"/>
      <c r="T235" s="1"/>
      <c r="W235" s="1"/>
      <c r="Z235" s="1"/>
      <c r="AC235" s="1"/>
    </row>
    <row r="236" spans="1:70">
      <c r="C236" s="2"/>
      <c r="D236" s="35"/>
      <c r="H236" s="171"/>
      <c r="I236" s="246"/>
      <c r="J236" s="183"/>
      <c r="K236" s="171"/>
      <c r="L236" s="246"/>
      <c r="M236" s="183"/>
      <c r="N236" s="171"/>
      <c r="O236" s="246"/>
      <c r="P236" s="183"/>
      <c r="Q236" s="171"/>
      <c r="R236" s="246"/>
      <c r="S236" s="183"/>
      <c r="T236" s="1"/>
      <c r="W236" s="1"/>
      <c r="Z236" s="1"/>
      <c r="AC236" s="1"/>
    </row>
    <row r="237" spans="1:70" s="218" customFormat="1">
      <c r="A237" s="2"/>
      <c r="B237" s="1"/>
      <c r="C237" s="2"/>
      <c r="D237" s="35"/>
      <c r="E237" s="1"/>
      <c r="F237" s="1"/>
      <c r="G237" s="1"/>
      <c r="H237" s="171"/>
      <c r="I237" s="246"/>
      <c r="J237" s="183"/>
      <c r="K237" s="171"/>
      <c r="L237" s="246"/>
      <c r="M237" s="183"/>
      <c r="N237" s="171"/>
      <c r="O237" s="246"/>
      <c r="P237" s="183"/>
      <c r="Q237" s="171"/>
      <c r="R237" s="246"/>
      <c r="S237" s="183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</row>
    <row r="238" spans="1:70">
      <c r="C238" s="2"/>
      <c r="D238" s="171"/>
      <c r="H238" s="171"/>
      <c r="I238" s="246"/>
      <c r="J238" s="183"/>
      <c r="K238" s="171"/>
      <c r="L238" s="246"/>
      <c r="M238" s="183"/>
      <c r="N238" s="171"/>
      <c r="O238" s="246"/>
      <c r="P238" s="183"/>
      <c r="Q238" s="171"/>
      <c r="R238" s="246"/>
      <c r="S238" s="183"/>
      <c r="T238" s="1"/>
      <c r="W238" s="1"/>
      <c r="Z238" s="1"/>
      <c r="AC238" s="1"/>
    </row>
    <row r="239" spans="1:70" ht="17" customHeight="1">
      <c r="C239" s="2"/>
      <c r="D239" s="171"/>
      <c r="H239" s="171"/>
      <c r="I239" s="246"/>
      <c r="J239" s="183"/>
      <c r="K239" s="171"/>
      <c r="L239" s="246"/>
      <c r="M239" s="183"/>
      <c r="N239" s="171"/>
      <c r="O239" s="246"/>
      <c r="P239" s="183"/>
      <c r="Q239" s="171"/>
      <c r="R239" s="246"/>
      <c r="S239" s="183"/>
      <c r="T239" s="1"/>
      <c r="W239" s="1"/>
      <c r="Z239" s="1"/>
      <c r="AC239" s="1"/>
    </row>
    <row r="240" spans="1:70">
      <c r="C240" s="2"/>
      <c r="D240" s="171"/>
      <c r="H240" s="171"/>
      <c r="I240" s="246"/>
      <c r="J240" s="183"/>
      <c r="K240" s="171"/>
      <c r="L240" s="246"/>
      <c r="M240" s="183"/>
      <c r="N240" s="171"/>
      <c r="O240" s="246"/>
      <c r="P240" s="183"/>
      <c r="Q240" s="171"/>
      <c r="R240" s="246"/>
      <c r="S240" s="183"/>
      <c r="T240" s="1"/>
      <c r="W240" s="1"/>
      <c r="Z240" s="1"/>
      <c r="AC240" s="1"/>
    </row>
    <row r="241" spans="1:70" s="6" customFormat="1">
      <c r="A241" s="3"/>
      <c r="B241" s="1"/>
      <c r="C241" s="221"/>
      <c r="D241" s="163"/>
      <c r="E241" s="1"/>
      <c r="F241" s="222"/>
      <c r="G241" s="183"/>
      <c r="H241" s="163"/>
      <c r="I241" s="222"/>
      <c r="J241" s="183"/>
      <c r="K241" s="163"/>
      <c r="L241" s="222"/>
      <c r="M241" s="183"/>
      <c r="N241" s="163"/>
      <c r="O241" s="222"/>
      <c r="P241" s="183"/>
      <c r="Q241" s="163"/>
      <c r="R241" s="222"/>
      <c r="S241" s="183"/>
      <c r="T241" s="163"/>
      <c r="U241" s="222"/>
      <c r="V241" s="183"/>
      <c r="W241" s="163"/>
      <c r="X241" s="222"/>
      <c r="Y241" s="183"/>
      <c r="Z241" s="163"/>
      <c r="AA241" s="222"/>
      <c r="AB241" s="183"/>
      <c r="AC241" s="163"/>
      <c r="AD241" s="222"/>
      <c r="AE241" s="183"/>
      <c r="AF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</row>
    <row r="242" spans="1:70" s="6" customFormat="1">
      <c r="A242" s="3"/>
      <c r="B242" s="1"/>
      <c r="C242" s="221"/>
      <c r="D242" s="163"/>
      <c r="E242" s="1"/>
      <c r="F242" s="222"/>
      <c r="G242" s="183"/>
      <c r="H242" s="163"/>
      <c r="I242" s="222"/>
      <c r="J242" s="183"/>
      <c r="K242" s="163"/>
      <c r="L242" s="222"/>
      <c r="M242" s="183"/>
      <c r="N242" s="163"/>
      <c r="O242" s="222"/>
      <c r="P242" s="183"/>
      <c r="Q242" s="163"/>
      <c r="R242" s="222"/>
      <c r="S242" s="183"/>
      <c r="T242" s="163"/>
      <c r="U242" s="222"/>
      <c r="V242" s="183"/>
      <c r="W242" s="163"/>
      <c r="X242" s="222"/>
      <c r="Y242" s="183"/>
      <c r="Z242" s="163"/>
      <c r="AA242" s="222"/>
      <c r="AB242" s="183"/>
      <c r="AC242" s="163"/>
      <c r="AD242" s="222"/>
      <c r="AE242" s="183"/>
      <c r="AF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</row>
    <row r="243" spans="1:70" s="6" customFormat="1">
      <c r="A243" s="3"/>
      <c r="B243" s="1"/>
      <c r="C243" s="221"/>
      <c r="D243" s="163"/>
      <c r="E243" s="1"/>
      <c r="F243" s="222"/>
      <c r="G243" s="183"/>
      <c r="H243" s="163"/>
      <c r="I243" s="222"/>
      <c r="J243" s="183"/>
      <c r="K243" s="163"/>
      <c r="L243" s="222"/>
      <c r="M243" s="183"/>
      <c r="N243" s="163"/>
      <c r="O243" s="222"/>
      <c r="P243" s="183"/>
      <c r="Q243" s="163"/>
      <c r="R243" s="222"/>
      <c r="S243" s="183"/>
      <c r="T243" s="163"/>
      <c r="U243" s="222"/>
      <c r="V243" s="183"/>
      <c r="W243" s="163"/>
      <c r="X243" s="222"/>
      <c r="Y243" s="183"/>
      <c r="Z243" s="163"/>
      <c r="AA243" s="222"/>
      <c r="AB243" s="183"/>
      <c r="AC243" s="163"/>
      <c r="AD243" s="222"/>
      <c r="AE243" s="183"/>
      <c r="AF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</row>
    <row r="244" spans="1:70" s="6" customFormat="1">
      <c r="A244" s="3"/>
      <c r="B244" s="1"/>
      <c r="C244" s="221"/>
      <c r="D244" s="163"/>
      <c r="E244" s="1"/>
      <c r="F244" s="222"/>
      <c r="G244" s="183"/>
      <c r="H244" s="163"/>
      <c r="I244" s="222"/>
      <c r="J244" s="183"/>
      <c r="K244" s="163"/>
      <c r="L244" s="222"/>
      <c r="M244" s="183"/>
      <c r="N244" s="163"/>
      <c r="O244" s="222"/>
      <c r="P244" s="183"/>
      <c r="Q244" s="163"/>
      <c r="R244" s="222"/>
      <c r="S244" s="183"/>
      <c r="T244" s="163"/>
      <c r="U244" s="222"/>
      <c r="V244" s="183"/>
      <c r="W244" s="163"/>
      <c r="X244" s="222"/>
      <c r="Y244" s="183"/>
      <c r="Z244" s="163"/>
      <c r="AA244" s="222"/>
      <c r="AB244" s="183"/>
      <c r="AC244" s="163"/>
      <c r="AD244" s="222"/>
      <c r="AE244" s="183"/>
      <c r="AF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</row>
    <row r="245" spans="1:70" ht="17" customHeight="1">
      <c r="C245" s="2"/>
      <c r="D245" s="171"/>
      <c r="H245" s="171"/>
      <c r="I245" s="246"/>
      <c r="J245" s="183"/>
      <c r="K245" s="171"/>
      <c r="L245" s="246"/>
      <c r="M245" s="183"/>
      <c r="N245" s="171"/>
      <c r="O245" s="246"/>
      <c r="P245" s="183"/>
      <c r="Q245" s="171"/>
      <c r="R245" s="246"/>
      <c r="S245" s="183"/>
      <c r="T245" s="1"/>
      <c r="W245" s="1"/>
      <c r="Z245" s="1"/>
      <c r="AC245" s="1"/>
    </row>
    <row r="246" spans="1:70">
      <c r="C246" s="2"/>
      <c r="D246" s="171"/>
      <c r="H246" s="171"/>
      <c r="I246" s="246"/>
      <c r="J246" s="183"/>
      <c r="K246" s="171"/>
      <c r="L246" s="246"/>
      <c r="M246" s="183"/>
      <c r="N246" s="171"/>
      <c r="O246" s="246"/>
      <c r="P246" s="183"/>
      <c r="Q246" s="171"/>
      <c r="R246" s="246"/>
      <c r="S246" s="183"/>
      <c r="T246" s="1"/>
      <c r="W246" s="1"/>
      <c r="Z246" s="1"/>
      <c r="AC246" s="1"/>
    </row>
    <row r="247" spans="1:70">
      <c r="C247" s="2"/>
      <c r="D247" s="171"/>
      <c r="H247" s="171"/>
      <c r="I247" s="246"/>
      <c r="J247" s="183"/>
      <c r="K247" s="171"/>
      <c r="L247" s="246"/>
      <c r="M247" s="183"/>
      <c r="N247" s="171"/>
      <c r="O247" s="246"/>
      <c r="P247" s="183"/>
      <c r="Q247" s="171"/>
      <c r="R247" s="246"/>
      <c r="S247" s="183"/>
      <c r="T247" s="1"/>
      <c r="W247" s="1"/>
      <c r="Z247" s="1"/>
      <c r="AC247" s="1"/>
    </row>
    <row r="248" spans="1:70">
      <c r="C248" s="2"/>
      <c r="D248" s="171"/>
      <c r="H248" s="171"/>
      <c r="I248" s="246"/>
      <c r="J248" s="183"/>
      <c r="K248" s="171"/>
      <c r="L248" s="246"/>
      <c r="M248" s="183"/>
      <c r="N248" s="171"/>
      <c r="O248" s="246"/>
      <c r="P248" s="183"/>
      <c r="Q248" s="171"/>
      <c r="R248" s="246"/>
      <c r="S248" s="183"/>
      <c r="T248" s="1"/>
      <c r="W248" s="1"/>
      <c r="Z248" s="1"/>
      <c r="AC248" s="1"/>
    </row>
    <row r="249" spans="1:70">
      <c r="C249" s="2"/>
      <c r="D249" s="171"/>
      <c r="H249" s="171"/>
      <c r="I249" s="246"/>
      <c r="J249" s="183"/>
      <c r="K249" s="171"/>
      <c r="L249" s="246"/>
      <c r="M249" s="183"/>
      <c r="N249" s="171"/>
      <c r="O249" s="246"/>
      <c r="P249" s="183"/>
      <c r="Q249" s="171"/>
      <c r="R249" s="246"/>
      <c r="S249" s="183"/>
      <c r="T249" s="1"/>
      <c r="W249" s="1"/>
      <c r="Z249" s="1"/>
      <c r="AC249" s="1"/>
    </row>
    <row r="250" spans="1:70" ht="16.25" customHeight="1">
      <c r="C250" s="2"/>
      <c r="D250" s="171"/>
      <c r="H250" s="171"/>
      <c r="I250" s="246"/>
      <c r="J250" s="183"/>
      <c r="K250" s="171"/>
      <c r="L250" s="246"/>
      <c r="M250" s="183"/>
      <c r="N250" s="171"/>
      <c r="O250" s="246"/>
      <c r="P250" s="183"/>
      <c r="Q250" s="171"/>
      <c r="R250" s="246"/>
      <c r="S250" s="183"/>
      <c r="T250" s="1"/>
      <c r="W250" s="1"/>
      <c r="Z250" s="1"/>
      <c r="AC250" s="1"/>
    </row>
    <row r="251" spans="1:70" ht="14" customHeight="1">
      <c r="C251" s="2"/>
      <c r="D251" s="35"/>
      <c r="H251" s="171"/>
      <c r="I251" s="246"/>
      <c r="J251" s="183"/>
      <c r="K251" s="171"/>
      <c r="L251" s="246"/>
      <c r="M251" s="183"/>
      <c r="N251" s="171"/>
      <c r="O251" s="246"/>
      <c r="P251" s="183"/>
      <c r="Q251" s="171"/>
      <c r="R251" s="246"/>
      <c r="S251" s="183"/>
      <c r="T251" s="1"/>
      <c r="W251" s="1"/>
      <c r="Z251" s="1"/>
      <c r="AC251" s="1"/>
    </row>
    <row r="252" spans="1:70" ht="13" customHeight="1">
      <c r="C252" s="2"/>
      <c r="D252" s="35"/>
      <c r="H252" s="171"/>
      <c r="I252" s="246"/>
      <c r="J252" s="183"/>
      <c r="K252" s="171"/>
      <c r="L252" s="246"/>
      <c r="M252" s="183"/>
      <c r="N252" s="171"/>
      <c r="O252" s="246"/>
      <c r="P252" s="183"/>
      <c r="Q252" s="171"/>
      <c r="R252" s="246"/>
      <c r="S252" s="183"/>
      <c r="T252" s="1"/>
      <c r="W252" s="1"/>
      <c r="Z252" s="1"/>
      <c r="AC252" s="1"/>
    </row>
    <row r="253" spans="1:70" ht="16" customHeight="1">
      <c r="C253" s="2"/>
      <c r="D253" s="35"/>
      <c r="H253" s="171"/>
      <c r="I253" s="246"/>
      <c r="J253" s="183"/>
      <c r="K253" s="171"/>
      <c r="L253" s="246"/>
      <c r="M253" s="183"/>
      <c r="N253" s="171"/>
      <c r="O253" s="246"/>
      <c r="P253" s="183"/>
      <c r="Q253" s="171"/>
      <c r="R253" s="246"/>
      <c r="S253" s="183"/>
      <c r="T253" s="1"/>
      <c r="W253" s="1"/>
      <c r="Z253" s="1"/>
      <c r="AC253" s="1"/>
    </row>
    <row r="254" spans="1:70" ht="13" customHeight="1">
      <c r="C254" s="2"/>
      <c r="D254" s="35"/>
      <c r="H254" s="171"/>
      <c r="I254" s="246"/>
      <c r="J254" s="183"/>
      <c r="K254" s="171"/>
      <c r="L254" s="246"/>
      <c r="M254" s="183"/>
      <c r="N254" s="171"/>
      <c r="O254" s="246"/>
      <c r="P254" s="183"/>
      <c r="Q254" s="171"/>
      <c r="R254" s="246"/>
      <c r="S254" s="183"/>
      <c r="T254" s="1"/>
      <c r="W254" s="1"/>
      <c r="Z254" s="1"/>
      <c r="AC254" s="1"/>
    </row>
    <row r="255" spans="1:70" s="218" customFormat="1" ht="14" customHeight="1">
      <c r="A255" s="2"/>
      <c r="B255" s="1"/>
      <c r="C255" s="2"/>
      <c r="D255" s="35"/>
      <c r="E255" s="1"/>
      <c r="F255" s="1"/>
      <c r="G255" s="1"/>
      <c r="H255" s="171"/>
      <c r="I255" s="246"/>
      <c r="J255" s="183"/>
      <c r="K255" s="171"/>
      <c r="L255" s="246"/>
      <c r="M255" s="183"/>
      <c r="N255" s="171"/>
      <c r="O255" s="246"/>
      <c r="P255" s="183"/>
      <c r="Q255" s="171"/>
      <c r="R255" s="246"/>
      <c r="S255" s="183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</row>
    <row r="256" spans="1:70" ht="16" customHeight="1">
      <c r="C256" s="2"/>
      <c r="D256" s="35"/>
      <c r="H256" s="171"/>
      <c r="I256" s="246"/>
      <c r="J256" s="183"/>
      <c r="K256" s="171"/>
      <c r="L256" s="246"/>
      <c r="M256" s="183"/>
      <c r="N256" s="171"/>
      <c r="O256" s="246"/>
      <c r="P256" s="183"/>
      <c r="Q256" s="171"/>
      <c r="R256" s="246"/>
      <c r="S256" s="183"/>
      <c r="T256" s="1"/>
      <c r="W256" s="1"/>
      <c r="Z256" s="1"/>
      <c r="AC256" s="1"/>
    </row>
    <row r="257" spans="3:32" ht="15" customHeight="1">
      <c r="C257" s="2"/>
      <c r="D257" s="35"/>
      <c r="H257" s="171"/>
      <c r="I257" s="246"/>
      <c r="J257" s="183"/>
      <c r="K257" s="171"/>
      <c r="L257" s="246"/>
      <c r="M257" s="183"/>
      <c r="N257" s="171"/>
      <c r="O257" s="246"/>
      <c r="P257" s="183"/>
      <c r="Q257" s="171"/>
      <c r="R257" s="246"/>
      <c r="S257" s="183"/>
      <c r="T257" s="1"/>
      <c r="W257" s="1"/>
      <c r="Z257" s="1"/>
      <c r="AC257" s="1"/>
    </row>
    <row r="258" spans="3:32" ht="13" customHeight="1">
      <c r="C258" s="2"/>
      <c r="D258" s="35"/>
      <c r="H258" s="171"/>
      <c r="I258" s="246"/>
      <c r="J258" s="183"/>
      <c r="K258" s="171"/>
      <c r="L258" s="246"/>
      <c r="M258" s="183"/>
      <c r="N258" s="171"/>
      <c r="O258" s="246"/>
      <c r="P258" s="183"/>
      <c r="Q258" s="171"/>
      <c r="R258" s="246"/>
      <c r="S258" s="183"/>
      <c r="T258" s="1"/>
      <c r="W258" s="1"/>
      <c r="Z258" s="1"/>
      <c r="AC258" s="1"/>
    </row>
    <row r="259" spans="3:32" ht="14" customHeight="1">
      <c r="C259" s="2"/>
      <c r="D259" s="35"/>
      <c r="H259" s="171"/>
      <c r="I259" s="246"/>
      <c r="J259" s="183"/>
      <c r="K259" s="171"/>
      <c r="L259" s="246"/>
      <c r="M259" s="183"/>
      <c r="N259" s="171"/>
      <c r="O259" s="246"/>
      <c r="P259" s="183"/>
      <c r="Q259" s="171"/>
      <c r="R259" s="246"/>
      <c r="S259" s="183"/>
      <c r="T259" s="1"/>
      <c r="W259" s="1"/>
      <c r="Z259" s="1"/>
      <c r="AC259" s="1"/>
    </row>
    <row r="260" spans="3:32" ht="13" customHeight="1">
      <c r="C260" s="2"/>
      <c r="D260" s="35"/>
      <c r="H260" s="171"/>
      <c r="I260" s="246"/>
      <c r="J260" s="183"/>
      <c r="K260" s="171"/>
      <c r="L260" s="246"/>
      <c r="M260" s="183"/>
      <c r="N260" s="171"/>
      <c r="O260" s="246"/>
      <c r="P260" s="183"/>
      <c r="Q260" s="171"/>
      <c r="R260" s="246"/>
      <c r="S260" s="183"/>
      <c r="T260" s="1"/>
      <c r="W260" s="1"/>
      <c r="Z260" s="1"/>
      <c r="AC260" s="1"/>
    </row>
    <row r="261" spans="3:32" ht="16" customHeight="1">
      <c r="H261" s="171"/>
      <c r="I261" s="246"/>
      <c r="J261" s="183"/>
      <c r="K261" s="171"/>
      <c r="L261" s="246"/>
      <c r="M261" s="183"/>
      <c r="N261" s="171"/>
      <c r="O261" s="246"/>
      <c r="P261" s="183"/>
      <c r="Q261" s="171"/>
      <c r="R261" s="246"/>
      <c r="S261" s="183"/>
      <c r="T261" s="1"/>
      <c r="W261" s="1"/>
      <c r="Z261" s="1"/>
      <c r="AC261" s="1"/>
    </row>
    <row r="262" spans="3:32" ht="17" customHeight="1">
      <c r="H262" s="171"/>
      <c r="I262" s="246"/>
      <c r="J262" s="183"/>
      <c r="K262" s="171"/>
      <c r="L262" s="246"/>
      <c r="M262" s="183"/>
      <c r="N262" s="171"/>
      <c r="O262" s="246"/>
      <c r="P262" s="183"/>
      <c r="Q262" s="171"/>
      <c r="R262" s="246"/>
      <c r="S262" s="183"/>
      <c r="T262" s="1"/>
      <c r="W262" s="1"/>
      <c r="Z262" s="1"/>
      <c r="AC262" s="1"/>
      <c r="AF262" s="247"/>
    </row>
    <row r="263" spans="3:32" ht="16.25" customHeight="1">
      <c r="H263" s="171"/>
      <c r="I263" s="246"/>
      <c r="J263" s="183"/>
      <c r="K263" s="171"/>
      <c r="L263" s="246"/>
      <c r="M263" s="183"/>
      <c r="N263" s="171"/>
      <c r="O263" s="246"/>
      <c r="P263" s="183"/>
      <c r="Q263" s="171"/>
      <c r="R263" s="246"/>
      <c r="S263" s="183"/>
      <c r="T263" s="1"/>
      <c r="W263" s="1"/>
      <c r="Z263" s="1"/>
      <c r="AC263" s="1"/>
      <c r="AF263" s="247"/>
    </row>
    <row r="264" spans="3:32" ht="16.25" customHeight="1">
      <c r="H264" s="171"/>
      <c r="I264" s="246"/>
      <c r="J264" s="183"/>
      <c r="K264" s="171"/>
      <c r="L264" s="246"/>
      <c r="M264" s="183"/>
      <c r="N264" s="171"/>
      <c r="O264" s="246"/>
      <c r="P264" s="183"/>
      <c r="Q264" s="171"/>
      <c r="R264" s="246"/>
      <c r="S264" s="183"/>
      <c r="T264" s="1"/>
      <c r="W264" s="1"/>
      <c r="Z264" s="1"/>
      <c r="AC264" s="1"/>
      <c r="AF264" s="247"/>
    </row>
    <row r="265" spans="3:32" ht="16.25" customHeight="1">
      <c r="H265" s="171"/>
      <c r="I265" s="246"/>
      <c r="J265" s="183"/>
      <c r="K265" s="171"/>
      <c r="L265" s="246"/>
      <c r="M265" s="183"/>
      <c r="N265" s="171"/>
      <c r="O265" s="246"/>
      <c r="P265" s="183"/>
      <c r="Q265" s="171"/>
      <c r="R265" s="246"/>
      <c r="S265" s="183"/>
      <c r="T265" s="1"/>
      <c r="W265" s="1"/>
      <c r="Z265" s="1"/>
      <c r="AC265" s="1"/>
      <c r="AF265" s="247"/>
    </row>
    <row r="266" spans="3:32" ht="16.25" customHeight="1">
      <c r="H266" s="171"/>
      <c r="I266" s="246"/>
      <c r="J266" s="183"/>
      <c r="K266" s="171"/>
      <c r="L266" s="246"/>
      <c r="M266" s="183"/>
      <c r="N266" s="171"/>
      <c r="O266" s="246"/>
      <c r="P266" s="183"/>
      <c r="Q266" s="171"/>
      <c r="R266" s="246"/>
      <c r="S266" s="183"/>
      <c r="T266" s="1"/>
      <c r="W266" s="1"/>
      <c r="Z266" s="1"/>
      <c r="AC266" s="1"/>
    </row>
    <row r="267" spans="3:32">
      <c r="H267" s="171"/>
      <c r="I267" s="246"/>
      <c r="J267" s="183"/>
      <c r="K267" s="171"/>
      <c r="L267" s="246"/>
      <c r="M267" s="183"/>
      <c r="N267" s="171"/>
      <c r="O267" s="246"/>
      <c r="P267" s="183"/>
      <c r="Q267" s="171"/>
      <c r="R267" s="246"/>
      <c r="S267" s="183"/>
      <c r="T267" s="1"/>
      <c r="W267" s="1"/>
      <c r="Z267" s="1"/>
      <c r="AC267" s="1"/>
    </row>
    <row r="268" spans="3:32">
      <c r="H268" s="171"/>
      <c r="I268" s="246"/>
      <c r="J268" s="183"/>
      <c r="K268" s="171"/>
      <c r="L268" s="246"/>
      <c r="M268" s="183"/>
      <c r="N268" s="171"/>
      <c r="O268" s="246"/>
      <c r="P268" s="183"/>
      <c r="Q268" s="171"/>
      <c r="R268" s="246"/>
      <c r="S268" s="183"/>
      <c r="T268" s="1"/>
      <c r="W268" s="1"/>
      <c r="Z268" s="1"/>
      <c r="AC268" s="1"/>
    </row>
    <row r="269" spans="3:32">
      <c r="H269" s="171"/>
      <c r="I269" s="246"/>
      <c r="J269" s="183"/>
      <c r="K269" s="171"/>
      <c r="L269" s="246"/>
      <c r="M269" s="183"/>
      <c r="N269" s="171"/>
      <c r="O269" s="246"/>
      <c r="P269" s="183"/>
      <c r="Q269" s="171"/>
      <c r="R269" s="246"/>
      <c r="S269" s="183"/>
      <c r="T269" s="1"/>
      <c r="W269" s="1"/>
      <c r="Z269" s="1"/>
      <c r="AC269" s="1"/>
    </row>
    <row r="270" spans="3:32">
      <c r="H270" s="171"/>
      <c r="I270" s="246"/>
      <c r="J270" s="183"/>
      <c r="K270" s="171"/>
      <c r="L270" s="246"/>
      <c r="M270" s="183"/>
      <c r="N270" s="171"/>
      <c r="O270" s="246"/>
      <c r="P270" s="183"/>
      <c r="Q270" s="171"/>
      <c r="R270" s="246"/>
      <c r="S270" s="183"/>
      <c r="T270" s="1"/>
      <c r="W270" s="1"/>
      <c r="Z270" s="1"/>
      <c r="AC270" s="1"/>
    </row>
    <row r="271" spans="3:32">
      <c r="H271" s="171"/>
      <c r="I271" s="246"/>
      <c r="J271" s="183"/>
      <c r="K271" s="171"/>
      <c r="L271" s="246"/>
      <c r="M271" s="183"/>
      <c r="N271" s="171"/>
      <c r="O271" s="246"/>
      <c r="P271" s="183"/>
      <c r="Q271" s="171"/>
      <c r="R271" s="246"/>
      <c r="S271" s="183"/>
      <c r="T271" s="1"/>
      <c r="W271" s="1"/>
      <c r="Z271" s="1"/>
      <c r="AC271" s="1"/>
    </row>
    <row r="272" spans="3:32">
      <c r="H272" s="171"/>
      <c r="I272" s="246"/>
      <c r="J272" s="183"/>
      <c r="K272" s="171"/>
      <c r="L272" s="246"/>
      <c r="M272" s="183"/>
      <c r="N272" s="171"/>
      <c r="O272" s="246"/>
      <c r="P272" s="183"/>
      <c r="Q272" s="171"/>
      <c r="R272" s="246"/>
      <c r="S272" s="183"/>
      <c r="T272" s="1"/>
      <c r="W272" s="1"/>
      <c r="Z272" s="1"/>
      <c r="AC272" s="1"/>
    </row>
    <row r="273" spans="8:29">
      <c r="H273" s="171"/>
      <c r="I273" s="246"/>
      <c r="J273" s="183"/>
      <c r="K273" s="171"/>
      <c r="L273" s="246"/>
      <c r="M273" s="183"/>
      <c r="N273" s="171"/>
      <c r="O273" s="246"/>
      <c r="P273" s="183"/>
      <c r="Q273" s="171"/>
      <c r="R273" s="246"/>
      <c r="S273" s="183"/>
      <c r="T273" s="1"/>
      <c r="W273" s="1"/>
      <c r="Z273" s="1"/>
      <c r="AC273" s="1"/>
    </row>
    <row r="274" spans="8:29">
      <c r="H274" s="171"/>
      <c r="I274" s="246"/>
      <c r="J274" s="183"/>
      <c r="K274" s="171"/>
      <c r="L274" s="246"/>
      <c r="M274" s="183"/>
      <c r="N274" s="171"/>
      <c r="O274" s="246"/>
      <c r="P274" s="183"/>
      <c r="Q274" s="171"/>
      <c r="R274" s="246"/>
      <c r="S274" s="183"/>
      <c r="T274" s="1"/>
      <c r="W274" s="1"/>
      <c r="Z274" s="1"/>
      <c r="AC274" s="1"/>
    </row>
    <row r="275" spans="8:29" ht="22" customHeight="1"/>
    <row r="276" spans="8:29" ht="11.5" customHeight="1"/>
    <row r="277" spans="8:29" ht="11.5" customHeight="1"/>
    <row r="278" spans="8:29" ht="11.5" customHeight="1"/>
    <row r="279" spans="8:29" ht="21" customHeight="1"/>
    <row r="280" spans="8:29" ht="19.75" customHeight="1"/>
    <row r="281" spans="8:29" ht="20.5" customHeight="1"/>
    <row r="282" spans="8:29" ht="20.5" customHeight="1"/>
    <row r="283" spans="8:29" ht="19.25" customHeight="1"/>
    <row r="284" spans="8:29" ht="20.5" customHeight="1"/>
    <row r="285" spans="8:29" ht="11.5" customHeight="1"/>
    <row r="286" spans="8:29" ht="11.5" customHeight="1"/>
    <row r="287" spans="8:29" ht="11.5" customHeight="1"/>
    <row r="288" spans="8:29" ht="11.5" customHeight="1"/>
    <row r="289" ht="11.5" customHeight="1"/>
    <row r="293" ht="23.5" customHeight="1"/>
    <row r="301" ht="16.25" customHeight="1"/>
  </sheetData>
  <sortState xmlns:xlrd2="http://schemas.microsoft.com/office/spreadsheetml/2017/richdata2" ref="B46:AE53">
    <sortCondition ref="B46:B53"/>
  </sortState>
  <mergeCells count="35">
    <mergeCell ref="A45:D45"/>
    <mergeCell ref="A77:D77"/>
    <mergeCell ref="AD3:AE3"/>
    <mergeCell ref="X3:Y3"/>
    <mergeCell ref="A54:D54"/>
    <mergeCell ref="A68:D68"/>
    <mergeCell ref="AA3:AB3"/>
    <mergeCell ref="A8:D8"/>
    <mergeCell ref="F3:G3"/>
    <mergeCell ref="A33:D33"/>
    <mergeCell ref="A16:D16"/>
    <mergeCell ref="A42:D42"/>
    <mergeCell ref="A43:D43"/>
    <mergeCell ref="A17:D17"/>
    <mergeCell ref="A75:D75"/>
    <mergeCell ref="I2:J2"/>
    <mergeCell ref="O3:P3"/>
    <mergeCell ref="R2:S2"/>
    <mergeCell ref="U3:V3"/>
    <mergeCell ref="R3:S3"/>
    <mergeCell ref="O2:P2"/>
    <mergeCell ref="I3:J3"/>
    <mergeCell ref="L3:M3"/>
    <mergeCell ref="L2:M2"/>
    <mergeCell ref="B213:D213"/>
    <mergeCell ref="B212:D212"/>
    <mergeCell ref="B214:D214"/>
    <mergeCell ref="B211:D211"/>
    <mergeCell ref="A83:D83"/>
    <mergeCell ref="A172:D172"/>
    <mergeCell ref="A201:D201"/>
    <mergeCell ref="A181:D181"/>
    <mergeCell ref="A188:D188"/>
    <mergeCell ref="A189:D189"/>
    <mergeCell ref="A195:D195"/>
  </mergeCells>
  <phoneticPr fontId="12" type="noConversion"/>
  <printOptions horizontalCentered="1"/>
  <pageMargins left="0.25" right="0.25" top="0.75" bottom="0.75" header="0.3" footer="0.3"/>
  <pageSetup paperSize="8" scale="53" fitToHeight="0" orientation="landscape" verticalDpi="4294967295"/>
  <headerFooter alignWithMargins="0">
    <oddHeader>&amp;RESTIMATION MOE - LOT 02 ESPACES VERTS
Atelier de Paysage et d'Urbanisme ZENOBIA
Hameau de la Rivière - 4 rue Panorama
14390 PETIVILLE</oddHeader>
    <oddFooter>&amp;L
&amp;C&amp;"Univers,Gras"&amp;DDécembre 2024 - Phase PRO</oddFooter>
  </headerFooter>
  <rowBreaks count="2" manualBreakCount="2">
    <brk id="96" max="30" man="1"/>
    <brk id="187" max="30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ESTIMATION</vt:lpstr>
      <vt:lpstr>ESTIMATION!Impression_des_titres</vt:lpstr>
      <vt:lpstr>ESTIMATION!Zone_d_impression</vt:lpstr>
    </vt:vector>
  </TitlesOfParts>
  <Company>VERTLATITUDE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Atelier1</dc:creator>
  <cp:lastModifiedBy>Roxane Bonne</cp:lastModifiedBy>
  <cp:lastPrinted>2024-03-14T14:08:14Z</cp:lastPrinted>
  <dcterms:created xsi:type="dcterms:W3CDTF">2009-09-15T09:35:23Z</dcterms:created>
  <dcterms:modified xsi:type="dcterms:W3CDTF">2025-04-24T15:32:32Z</dcterms:modified>
</cp:coreProperties>
</file>